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г\Desktop\"/>
    </mc:Choice>
  </mc:AlternateContent>
  <bookViews>
    <workbookView xWindow="0" yWindow="0" windowWidth="20490" windowHeight="7185"/>
  </bookViews>
  <sheets>
    <sheet name="Призеры 6" sheetId="2" r:id="rId1"/>
    <sheet name="Регман (копия) 1" sheetId="6" state="hidden" r:id="rId2"/>
    <sheet name="Список ком." sheetId="9" state="hidden" r:id="rId3"/>
    <sheet name="Список ком. (копия)" sheetId="10" state="hidden" r:id="rId4"/>
    <sheet name="Инфо4-Бийск, СШОР №3-5" sheetId="13" state="hidden" r:id="rId5"/>
    <sheet name="Инфо3-Бийск, СШОР №3-1" sheetId="14" state="hidden" r:id="rId6"/>
    <sheet name="Инфо2-Бийск, СШОР №3-5" sheetId="15" state="hidden" r:id="rId7"/>
  </sheets>
  <definedNames>
    <definedName name="KR">#REF!</definedName>
  </definedNames>
  <calcPr calcId="162913"/>
</workbook>
</file>

<file path=xl/calcChain.xml><?xml version="1.0" encoding="utf-8"?>
<calcChain xmlns="http://schemas.openxmlformats.org/spreadsheetml/2006/main">
  <c r="A15" i="6" l="1"/>
  <c r="A14" i="6"/>
  <c r="A13" i="6"/>
  <c r="A12" i="6"/>
  <c r="A11" i="6"/>
  <c r="B10" i="6"/>
  <c r="A10" i="6"/>
  <c r="B9" i="6"/>
  <c r="A9" i="6"/>
  <c r="B8" i="6"/>
  <c r="A8" i="6"/>
  <c r="B7" i="6"/>
  <c r="A7" i="6"/>
  <c r="B6" i="6"/>
  <c r="A6" i="6"/>
  <c r="B5" i="6"/>
  <c r="A5" i="6"/>
  <c r="B4" i="6"/>
  <c r="A4" i="6"/>
  <c r="B3" i="6"/>
  <c r="A3" i="6"/>
  <c r="B2" i="6"/>
  <c r="A2" i="6"/>
  <c r="B1" i="6"/>
  <c r="A1" i="6"/>
  <c r="M152" i="6"/>
  <c r="I152" i="6"/>
  <c r="D152" i="6"/>
  <c r="L151" i="6"/>
  <c r="H151" i="6"/>
  <c r="C151" i="6"/>
  <c r="K150" i="6"/>
  <c r="G150" i="6"/>
  <c r="O149" i="6"/>
  <c r="J149" i="6"/>
  <c r="F149" i="6"/>
  <c r="M148" i="6"/>
  <c r="I148" i="6"/>
  <c r="D148" i="6"/>
  <c r="L147" i="6"/>
  <c r="H147" i="6"/>
  <c r="C147" i="6"/>
  <c r="K146" i="6"/>
  <c r="G146" i="6"/>
  <c r="O145" i="6"/>
  <c r="J145" i="6"/>
  <c r="F145" i="6"/>
  <c r="M144" i="6"/>
  <c r="I144" i="6"/>
  <c r="D144" i="6"/>
  <c r="L143" i="6"/>
  <c r="H143" i="6"/>
  <c r="C143" i="6"/>
  <c r="K142" i="6"/>
  <c r="G142" i="6"/>
  <c r="O141" i="6"/>
  <c r="J141" i="6"/>
  <c r="F141" i="6"/>
  <c r="M140" i="6"/>
  <c r="I140" i="6"/>
  <c r="D140" i="6"/>
  <c r="L139" i="6"/>
  <c r="H139" i="6"/>
  <c r="C139" i="6"/>
  <c r="K138" i="6"/>
  <c r="G138" i="6"/>
  <c r="O137" i="6"/>
  <c r="J137" i="6"/>
  <c r="F137" i="6"/>
  <c r="M136" i="6"/>
  <c r="I136" i="6"/>
  <c r="D136" i="6"/>
  <c r="L135" i="6"/>
  <c r="H135" i="6"/>
  <c r="C135" i="6"/>
  <c r="K134" i="6"/>
  <c r="G134" i="6"/>
  <c r="O133" i="6"/>
  <c r="J133" i="6"/>
  <c r="F133" i="6"/>
  <c r="M132" i="6"/>
  <c r="I132" i="6"/>
  <c r="D132" i="6"/>
  <c r="L131" i="6"/>
  <c r="H131" i="6"/>
  <c r="C131" i="6"/>
  <c r="K130" i="6"/>
  <c r="G130" i="6"/>
  <c r="O129" i="6"/>
  <c r="J129" i="6"/>
  <c r="F129" i="6"/>
  <c r="M128" i="6"/>
  <c r="I128" i="6"/>
  <c r="D128" i="6"/>
  <c r="L127" i="6"/>
  <c r="H127" i="6"/>
  <c r="C127" i="6"/>
  <c r="K126" i="6"/>
  <c r="G126" i="6"/>
  <c r="O125" i="6"/>
  <c r="J125" i="6"/>
  <c r="F125" i="6"/>
  <c r="M124" i="6"/>
  <c r="I124" i="6"/>
  <c r="D124" i="6"/>
  <c r="L123" i="6"/>
  <c r="H123" i="6"/>
  <c r="C123" i="6"/>
  <c r="K122" i="6"/>
  <c r="G122" i="6"/>
  <c r="O121" i="6"/>
  <c r="J121" i="6"/>
  <c r="F121" i="6"/>
  <c r="M120" i="6"/>
  <c r="I120" i="6"/>
  <c r="D120" i="6"/>
  <c r="L119" i="6"/>
  <c r="H119" i="6"/>
  <c r="C119" i="6"/>
  <c r="K118" i="6"/>
  <c r="G118" i="6"/>
  <c r="O117" i="6"/>
  <c r="J117" i="6"/>
  <c r="F117" i="6"/>
  <c r="M116" i="6"/>
  <c r="I116" i="6"/>
  <c r="D116" i="6"/>
  <c r="L115" i="6"/>
  <c r="H115" i="6"/>
  <c r="C115" i="6"/>
  <c r="K114" i="6"/>
  <c r="G114" i="6"/>
  <c r="O113" i="6"/>
  <c r="J113" i="6"/>
  <c r="F113" i="6"/>
  <c r="M112" i="6"/>
  <c r="I112" i="6"/>
  <c r="D112" i="6"/>
  <c r="L111" i="6"/>
  <c r="H111" i="6"/>
  <c r="L152" i="6"/>
  <c r="H152" i="6"/>
  <c r="C152" i="6"/>
  <c r="K151" i="6"/>
  <c r="G151" i="6"/>
  <c r="O150" i="6"/>
  <c r="J150" i="6"/>
  <c r="F150" i="6"/>
  <c r="M149" i="6"/>
  <c r="I149" i="6"/>
  <c r="D149" i="6"/>
  <c r="L148" i="6"/>
  <c r="H148" i="6"/>
  <c r="C148" i="6"/>
  <c r="K147" i="6"/>
  <c r="G147" i="6"/>
  <c r="O146" i="6"/>
  <c r="J146" i="6"/>
  <c r="F146" i="6"/>
  <c r="M145" i="6"/>
  <c r="I145" i="6"/>
  <c r="D145" i="6"/>
  <c r="L144" i="6"/>
  <c r="H144" i="6"/>
  <c r="C144" i="6"/>
  <c r="K143" i="6"/>
  <c r="G143" i="6"/>
  <c r="O142" i="6"/>
  <c r="J142" i="6"/>
  <c r="F142" i="6"/>
  <c r="M141" i="6"/>
  <c r="I141" i="6"/>
  <c r="D141" i="6"/>
  <c r="L140" i="6"/>
  <c r="H140" i="6"/>
  <c r="C140" i="6"/>
  <c r="K139" i="6"/>
  <c r="G139" i="6"/>
  <c r="O138" i="6"/>
  <c r="J138" i="6"/>
  <c r="F138" i="6"/>
  <c r="M137" i="6"/>
  <c r="I137" i="6"/>
  <c r="D137" i="6"/>
  <c r="L136" i="6"/>
  <c r="H136" i="6"/>
  <c r="C136" i="6"/>
  <c r="K135" i="6"/>
  <c r="G135" i="6"/>
  <c r="O134" i="6"/>
  <c r="J134" i="6"/>
  <c r="F134" i="6"/>
  <c r="M133" i="6"/>
  <c r="I133" i="6"/>
  <c r="D133" i="6"/>
  <c r="L132" i="6"/>
  <c r="H132" i="6"/>
  <c r="C132" i="6"/>
  <c r="K131" i="6"/>
  <c r="G131" i="6"/>
  <c r="O130" i="6"/>
  <c r="J130" i="6"/>
  <c r="F130" i="6"/>
  <c r="M129" i="6"/>
  <c r="I129" i="6"/>
  <c r="D129" i="6"/>
  <c r="L128" i="6"/>
  <c r="H128" i="6"/>
  <c r="C128" i="6"/>
  <c r="K127" i="6"/>
  <c r="G127" i="6"/>
  <c r="O126" i="6"/>
  <c r="J126" i="6"/>
  <c r="F126" i="6"/>
  <c r="M125" i="6"/>
  <c r="I125" i="6"/>
  <c r="D125" i="6"/>
  <c r="L124" i="6"/>
  <c r="H124" i="6"/>
  <c r="C124" i="6"/>
  <c r="K123" i="6"/>
  <c r="G123" i="6"/>
  <c r="O122" i="6"/>
  <c r="J122" i="6"/>
  <c r="F122" i="6"/>
  <c r="M121" i="6"/>
  <c r="I121" i="6"/>
  <c r="D121" i="6"/>
  <c r="L120" i="6"/>
  <c r="H120" i="6"/>
  <c r="C120" i="6"/>
  <c r="K119" i="6"/>
  <c r="G119" i="6"/>
  <c r="O118" i="6"/>
  <c r="J118" i="6"/>
  <c r="F118" i="6"/>
  <c r="M117" i="6"/>
  <c r="I117" i="6"/>
  <c r="D117" i="6"/>
  <c r="L116" i="6"/>
  <c r="H116" i="6"/>
  <c r="C116" i="6"/>
  <c r="K115" i="6"/>
  <c r="G115" i="6"/>
  <c r="O114" i="6"/>
  <c r="J114" i="6"/>
  <c r="F114" i="6"/>
  <c r="M113" i="6"/>
  <c r="I113" i="6"/>
  <c r="D113" i="6"/>
  <c r="L112" i="6"/>
  <c r="H112" i="6"/>
  <c r="C112" i="6"/>
  <c r="K111" i="6"/>
  <c r="G111" i="6"/>
  <c r="O110" i="6"/>
  <c r="J110" i="6"/>
  <c r="K152" i="6"/>
  <c r="G152" i="6"/>
  <c r="O151" i="6"/>
  <c r="J151" i="6"/>
  <c r="F151" i="6"/>
  <c r="M150" i="6"/>
  <c r="I150" i="6"/>
  <c r="D150" i="6"/>
  <c r="L149" i="6"/>
  <c r="H149" i="6"/>
  <c r="C149" i="6"/>
  <c r="K148" i="6"/>
  <c r="G148" i="6"/>
  <c r="O147" i="6"/>
  <c r="J147" i="6"/>
  <c r="F147" i="6"/>
  <c r="M146" i="6"/>
  <c r="I146" i="6"/>
  <c r="D146" i="6"/>
  <c r="L145" i="6"/>
  <c r="H145" i="6"/>
  <c r="C145" i="6"/>
  <c r="K144" i="6"/>
  <c r="G144" i="6"/>
  <c r="O143" i="6"/>
  <c r="J143" i="6"/>
  <c r="F143" i="6"/>
  <c r="M142" i="6"/>
  <c r="I142" i="6"/>
  <c r="D142" i="6"/>
  <c r="L141" i="6"/>
  <c r="H141" i="6"/>
  <c r="C141" i="6"/>
  <c r="K140" i="6"/>
  <c r="G140" i="6"/>
  <c r="O139" i="6"/>
  <c r="J139" i="6"/>
  <c r="F139" i="6"/>
  <c r="M138" i="6"/>
  <c r="I138" i="6"/>
  <c r="D138" i="6"/>
  <c r="L137" i="6"/>
  <c r="H137" i="6"/>
  <c r="C137" i="6"/>
  <c r="K136" i="6"/>
  <c r="G136" i="6"/>
  <c r="O135" i="6"/>
  <c r="J135" i="6"/>
  <c r="F135" i="6"/>
  <c r="M134" i="6"/>
  <c r="I134" i="6"/>
  <c r="D134" i="6"/>
  <c r="L133" i="6"/>
  <c r="H133" i="6"/>
  <c r="C133" i="6"/>
  <c r="K132" i="6"/>
  <c r="G132" i="6"/>
  <c r="O131" i="6"/>
  <c r="J131" i="6"/>
  <c r="F131" i="6"/>
  <c r="M130" i="6"/>
  <c r="I130" i="6"/>
  <c r="D130" i="6"/>
  <c r="L129" i="6"/>
  <c r="H129" i="6"/>
  <c r="C129" i="6"/>
  <c r="K128" i="6"/>
  <c r="G128" i="6"/>
  <c r="O127" i="6"/>
  <c r="J127" i="6"/>
  <c r="F127" i="6"/>
  <c r="M126" i="6"/>
  <c r="I126" i="6"/>
  <c r="D126" i="6"/>
  <c r="L125" i="6"/>
  <c r="H125" i="6"/>
  <c r="C125" i="6"/>
  <c r="K124" i="6"/>
  <c r="G124" i="6"/>
  <c r="O123" i="6"/>
  <c r="J123" i="6"/>
  <c r="F123" i="6"/>
  <c r="M122" i="6"/>
  <c r="I122" i="6"/>
  <c r="D122" i="6"/>
  <c r="L121" i="6"/>
  <c r="H121" i="6"/>
  <c r="C121" i="6"/>
  <c r="K120" i="6"/>
  <c r="G120" i="6"/>
  <c r="O119" i="6"/>
  <c r="J119" i="6"/>
  <c r="F119" i="6"/>
  <c r="M118" i="6"/>
  <c r="I118" i="6"/>
  <c r="D118" i="6"/>
  <c r="L117" i="6"/>
  <c r="H117" i="6"/>
  <c r="C117" i="6"/>
  <c r="K116" i="6"/>
  <c r="G116" i="6"/>
  <c r="O115" i="6"/>
  <c r="J115" i="6"/>
  <c r="F115" i="6"/>
  <c r="M114" i="6"/>
  <c r="I114" i="6"/>
  <c r="D114" i="6"/>
  <c r="L113" i="6"/>
  <c r="H113" i="6"/>
  <c r="C113" i="6"/>
  <c r="K112" i="6"/>
  <c r="G112" i="6"/>
  <c r="O111" i="6"/>
  <c r="J111" i="6"/>
  <c r="F111" i="6"/>
  <c r="M110" i="6"/>
  <c r="J152" i="6"/>
  <c r="D151" i="6"/>
  <c r="K149" i="6"/>
  <c r="F148" i="6"/>
  <c r="L146" i="6"/>
  <c r="G145" i="6"/>
  <c r="M143" i="6"/>
  <c r="H142" i="6"/>
  <c r="O140" i="6"/>
  <c r="I139" i="6"/>
  <c r="C138" i="6"/>
  <c r="J136" i="6"/>
  <c r="D135" i="6"/>
  <c r="K133" i="6"/>
  <c r="F132" i="6"/>
  <c r="L130" i="6"/>
  <c r="G129" i="6"/>
  <c r="M127" i="6"/>
  <c r="H126" i="6"/>
  <c r="O124" i="6"/>
  <c r="I123" i="6"/>
  <c r="C122" i="6"/>
  <c r="J120" i="6"/>
  <c r="D119" i="6"/>
  <c r="K117" i="6"/>
  <c r="F116" i="6"/>
  <c r="L114" i="6"/>
  <c r="G113" i="6"/>
  <c r="M111" i="6"/>
  <c r="L110" i="6"/>
  <c r="G110" i="6"/>
  <c r="O109" i="6"/>
  <c r="J109" i="6"/>
  <c r="F109" i="6"/>
  <c r="M108" i="6"/>
  <c r="I108" i="6"/>
  <c r="D108" i="6"/>
  <c r="L107" i="6"/>
  <c r="H107" i="6"/>
  <c r="C107" i="6"/>
  <c r="K106" i="6"/>
  <c r="G106" i="6"/>
  <c r="O105" i="6"/>
  <c r="J105" i="6"/>
  <c r="F105" i="6"/>
  <c r="M104" i="6"/>
  <c r="I104" i="6"/>
  <c r="D104" i="6"/>
  <c r="L103" i="6"/>
  <c r="H103" i="6"/>
  <c r="C103" i="6"/>
  <c r="K102" i="6"/>
  <c r="G102" i="6"/>
  <c r="O101" i="6"/>
  <c r="J101" i="6"/>
  <c r="F101" i="6"/>
  <c r="M100" i="6"/>
  <c r="I100" i="6"/>
  <c r="D100" i="6"/>
  <c r="L99" i="6"/>
  <c r="H99" i="6"/>
  <c r="C99" i="6"/>
  <c r="K98" i="6"/>
  <c r="G98" i="6"/>
  <c r="O97" i="6"/>
  <c r="J97" i="6"/>
  <c r="F97" i="6"/>
  <c r="M96" i="6"/>
  <c r="I96" i="6"/>
  <c r="D96" i="6"/>
  <c r="L95" i="6"/>
  <c r="H95" i="6"/>
  <c r="C95" i="6"/>
  <c r="K94" i="6"/>
  <c r="G94" i="6"/>
  <c r="O93" i="6"/>
  <c r="J93" i="6"/>
  <c r="F93" i="6"/>
  <c r="M92" i="6"/>
  <c r="I92" i="6"/>
  <c r="D92" i="6"/>
  <c r="L91" i="6"/>
  <c r="H91" i="6"/>
  <c r="C91" i="6"/>
  <c r="K90" i="6"/>
  <c r="G90" i="6"/>
  <c r="O89" i="6"/>
  <c r="J89" i="6"/>
  <c r="F89" i="6"/>
  <c r="M88" i="6"/>
  <c r="I88" i="6"/>
  <c r="D88" i="6"/>
  <c r="L87" i="6"/>
  <c r="H87" i="6"/>
  <c r="C87" i="6"/>
  <c r="K86" i="6"/>
  <c r="G86" i="6"/>
  <c r="O85" i="6"/>
  <c r="J85" i="6"/>
  <c r="F85" i="6"/>
  <c r="M84" i="6"/>
  <c r="I84" i="6"/>
  <c r="D84" i="6"/>
  <c r="L83" i="6"/>
  <c r="H83" i="6"/>
  <c r="C83" i="6"/>
  <c r="K82" i="6"/>
  <c r="G82" i="6"/>
  <c r="O81" i="6"/>
  <c r="J81" i="6"/>
  <c r="F81" i="6"/>
  <c r="M80" i="6"/>
  <c r="I80" i="6"/>
  <c r="D80" i="6"/>
  <c r="L79" i="6"/>
  <c r="H79" i="6"/>
  <c r="C79" i="6"/>
  <c r="K78" i="6"/>
  <c r="G78" i="6"/>
  <c r="O77" i="6"/>
  <c r="J77" i="6"/>
  <c r="F152" i="6"/>
  <c r="L150" i="6"/>
  <c r="G149" i="6"/>
  <c r="M147" i="6"/>
  <c r="H146" i="6"/>
  <c r="O144" i="6"/>
  <c r="I143" i="6"/>
  <c r="C142" i="6"/>
  <c r="J140" i="6"/>
  <c r="D139" i="6"/>
  <c r="K137" i="6"/>
  <c r="F136" i="6"/>
  <c r="L134" i="6"/>
  <c r="G133" i="6"/>
  <c r="M131" i="6"/>
  <c r="H130" i="6"/>
  <c r="O128" i="6"/>
  <c r="I127" i="6"/>
  <c r="C126" i="6"/>
  <c r="J124" i="6"/>
  <c r="D123" i="6"/>
  <c r="K121" i="6"/>
  <c r="F120" i="6"/>
  <c r="L118" i="6"/>
  <c r="G117" i="6"/>
  <c r="M115" i="6"/>
  <c r="H114" i="6"/>
  <c r="O112" i="6"/>
  <c r="I111" i="6"/>
  <c r="K110" i="6"/>
  <c r="F110" i="6"/>
  <c r="M109" i="6"/>
  <c r="I109" i="6"/>
  <c r="D109" i="6"/>
  <c r="L108" i="6"/>
  <c r="H108" i="6"/>
  <c r="C108" i="6"/>
  <c r="K107" i="6"/>
  <c r="G107" i="6"/>
  <c r="O106" i="6"/>
  <c r="J106" i="6"/>
  <c r="F106" i="6"/>
  <c r="M105" i="6"/>
  <c r="I105" i="6"/>
  <c r="D105" i="6"/>
  <c r="L104" i="6"/>
  <c r="H104" i="6"/>
  <c r="C104" i="6"/>
  <c r="K103" i="6"/>
  <c r="G103" i="6"/>
  <c r="O102" i="6"/>
  <c r="J102" i="6"/>
  <c r="F102" i="6"/>
  <c r="M101" i="6"/>
  <c r="I101" i="6"/>
  <c r="D101" i="6"/>
  <c r="L100" i="6"/>
  <c r="H100" i="6"/>
  <c r="C100" i="6"/>
  <c r="K99" i="6"/>
  <c r="G99" i="6"/>
  <c r="O98" i="6"/>
  <c r="J98" i="6"/>
  <c r="F98" i="6"/>
  <c r="M97" i="6"/>
  <c r="I97" i="6"/>
  <c r="D97" i="6"/>
  <c r="L96" i="6"/>
  <c r="H96" i="6"/>
  <c r="C96" i="6"/>
  <c r="K95" i="6"/>
  <c r="G95" i="6"/>
  <c r="O94" i="6"/>
  <c r="J94" i="6"/>
  <c r="F94" i="6"/>
  <c r="M93" i="6"/>
  <c r="I93" i="6"/>
  <c r="D93" i="6"/>
  <c r="L92" i="6"/>
  <c r="H92" i="6"/>
  <c r="C92" i="6"/>
  <c r="K91" i="6"/>
  <c r="G91" i="6"/>
  <c r="O90" i="6"/>
  <c r="J90" i="6"/>
  <c r="F90" i="6"/>
  <c r="M89" i="6"/>
  <c r="I89" i="6"/>
  <c r="D89" i="6"/>
  <c r="L88" i="6"/>
  <c r="H88" i="6"/>
  <c r="C88" i="6"/>
  <c r="K87" i="6"/>
  <c r="G87" i="6"/>
  <c r="O86" i="6"/>
  <c r="J86" i="6"/>
  <c r="F86" i="6"/>
  <c r="M85" i="6"/>
  <c r="I85" i="6"/>
  <c r="D85" i="6"/>
  <c r="L84" i="6"/>
  <c r="H84" i="6"/>
  <c r="C84" i="6"/>
  <c r="K83" i="6"/>
  <c r="G83" i="6"/>
  <c r="O82" i="6"/>
  <c r="J82" i="6"/>
  <c r="F82" i="6"/>
  <c r="M81" i="6"/>
  <c r="I81" i="6"/>
  <c r="D81" i="6"/>
  <c r="L80" i="6"/>
  <c r="H80" i="6"/>
  <c r="C80" i="6"/>
  <c r="K79" i="6"/>
  <c r="G79" i="6"/>
  <c r="O78" i="6"/>
  <c r="J78" i="6"/>
  <c r="F78" i="6"/>
  <c r="M77" i="6"/>
  <c r="M151" i="6"/>
  <c r="H150" i="6"/>
  <c r="O148" i="6"/>
  <c r="I147" i="6"/>
  <c r="C146" i="6"/>
  <c r="J144" i="6"/>
  <c r="D143" i="6"/>
  <c r="K141" i="6"/>
  <c r="F140" i="6"/>
  <c r="L138" i="6"/>
  <c r="G137" i="6"/>
  <c r="M135" i="6"/>
  <c r="H134" i="6"/>
  <c r="O132" i="6"/>
  <c r="I131" i="6"/>
  <c r="C130" i="6"/>
  <c r="J128" i="6"/>
  <c r="D127" i="6"/>
  <c r="K125" i="6"/>
  <c r="F124" i="6"/>
  <c r="L122" i="6"/>
  <c r="G121" i="6"/>
  <c r="M119" i="6"/>
  <c r="H118" i="6"/>
  <c r="O116" i="6"/>
  <c r="I115" i="6"/>
  <c r="C114" i="6"/>
  <c r="J112" i="6"/>
  <c r="D111" i="6"/>
  <c r="I110" i="6"/>
  <c r="D110" i="6"/>
  <c r="L109" i="6"/>
  <c r="H109" i="6"/>
  <c r="C109" i="6"/>
  <c r="K108" i="6"/>
  <c r="G108" i="6"/>
  <c r="O107" i="6"/>
  <c r="J107" i="6"/>
  <c r="F107" i="6"/>
  <c r="M106" i="6"/>
  <c r="I106" i="6"/>
  <c r="D106" i="6"/>
  <c r="L105" i="6"/>
  <c r="H105" i="6"/>
  <c r="C105" i="6"/>
  <c r="K104" i="6"/>
  <c r="G104" i="6"/>
  <c r="O103" i="6"/>
  <c r="J103" i="6"/>
  <c r="F103" i="6"/>
  <c r="M102" i="6"/>
  <c r="I102" i="6"/>
  <c r="D102" i="6"/>
  <c r="L101" i="6"/>
  <c r="H101" i="6"/>
  <c r="C101" i="6"/>
  <c r="K100" i="6"/>
  <c r="G100" i="6"/>
  <c r="O99" i="6"/>
  <c r="J99" i="6"/>
  <c r="F99" i="6"/>
  <c r="M98" i="6"/>
  <c r="I98" i="6"/>
  <c r="D98" i="6"/>
  <c r="L97" i="6"/>
  <c r="H97" i="6"/>
  <c r="C97" i="6"/>
  <c r="K96" i="6"/>
  <c r="G96" i="6"/>
  <c r="O95" i="6"/>
  <c r="J95" i="6"/>
  <c r="F95" i="6"/>
  <c r="M94" i="6"/>
  <c r="I94" i="6"/>
  <c r="D94" i="6"/>
  <c r="L93" i="6"/>
  <c r="H93" i="6"/>
  <c r="C93" i="6"/>
  <c r="K92" i="6"/>
  <c r="G92" i="6"/>
  <c r="O91" i="6"/>
  <c r="J91" i="6"/>
  <c r="F91" i="6"/>
  <c r="M90" i="6"/>
  <c r="I90" i="6"/>
  <c r="D90" i="6"/>
  <c r="L89" i="6"/>
  <c r="H89" i="6"/>
  <c r="C89" i="6"/>
  <c r="K88" i="6"/>
  <c r="G88" i="6"/>
  <c r="O87" i="6"/>
  <c r="J87" i="6"/>
  <c r="F87" i="6"/>
  <c r="M86" i="6"/>
  <c r="I86" i="6"/>
  <c r="D86" i="6"/>
  <c r="L85" i="6"/>
  <c r="H85" i="6"/>
  <c r="C85" i="6"/>
  <c r="K84" i="6"/>
  <c r="G84" i="6"/>
  <c r="O83" i="6"/>
  <c r="J83" i="6"/>
  <c r="F83" i="6"/>
  <c r="M82" i="6"/>
  <c r="I82" i="6"/>
  <c r="D82" i="6"/>
  <c r="L81" i="6"/>
  <c r="H81" i="6"/>
  <c r="C81" i="6"/>
  <c r="K80" i="6"/>
  <c r="G80" i="6"/>
  <c r="O79" i="6"/>
  <c r="J79" i="6"/>
  <c r="F79" i="6"/>
  <c r="M78" i="6"/>
  <c r="I78" i="6"/>
  <c r="D78" i="6"/>
  <c r="L77" i="6"/>
  <c r="H77" i="6"/>
  <c r="C77" i="6"/>
  <c r="J148" i="6"/>
  <c r="L142" i="6"/>
  <c r="O136" i="6"/>
  <c r="D131" i="6"/>
  <c r="G125" i="6"/>
  <c r="I119" i="6"/>
  <c r="K113" i="6"/>
  <c r="C110" i="6"/>
  <c r="J108" i="6"/>
  <c r="D107" i="6"/>
  <c r="K105" i="6"/>
  <c r="F104" i="6"/>
  <c r="L102" i="6"/>
  <c r="G101" i="6"/>
  <c r="M99" i="6"/>
  <c r="H98" i="6"/>
  <c r="O96" i="6"/>
  <c r="I95" i="6"/>
  <c r="C94" i="6"/>
  <c r="J92" i="6"/>
  <c r="D91" i="6"/>
  <c r="K89" i="6"/>
  <c r="F88" i="6"/>
  <c r="L86" i="6"/>
  <c r="G85" i="6"/>
  <c r="M83" i="6"/>
  <c r="H82" i="6"/>
  <c r="O80" i="6"/>
  <c r="I79" i="6"/>
  <c r="C78" i="6"/>
  <c r="F77" i="6"/>
  <c r="L76" i="6"/>
  <c r="H76" i="6"/>
  <c r="C76" i="6"/>
  <c r="K75" i="6"/>
  <c r="G75" i="6"/>
  <c r="O74" i="6"/>
  <c r="J74" i="6"/>
  <c r="F74" i="6"/>
  <c r="M73" i="6"/>
  <c r="I73" i="6"/>
  <c r="D73" i="6"/>
  <c r="L72" i="6"/>
  <c r="H72" i="6"/>
  <c r="C72" i="6"/>
  <c r="K71" i="6"/>
  <c r="G71" i="6"/>
  <c r="O70" i="6"/>
  <c r="J70" i="6"/>
  <c r="F70" i="6"/>
  <c r="M69" i="6"/>
  <c r="I69" i="6"/>
  <c r="D69" i="6"/>
  <c r="L68" i="6"/>
  <c r="H68" i="6"/>
  <c r="C68" i="6"/>
  <c r="K67" i="6"/>
  <c r="G67" i="6"/>
  <c r="O66" i="6"/>
  <c r="J66" i="6"/>
  <c r="F66" i="6"/>
  <c r="M65" i="6"/>
  <c r="I65" i="6"/>
  <c r="D65" i="6"/>
  <c r="L64" i="6"/>
  <c r="H64" i="6"/>
  <c r="C64" i="6"/>
  <c r="K63" i="6"/>
  <c r="G63" i="6"/>
  <c r="O62" i="6"/>
  <c r="J62" i="6"/>
  <c r="F62" i="6"/>
  <c r="M61" i="6"/>
  <c r="I61" i="6"/>
  <c r="D61" i="6"/>
  <c r="L60" i="6"/>
  <c r="H60" i="6"/>
  <c r="C60" i="6"/>
  <c r="K59" i="6"/>
  <c r="G59" i="6"/>
  <c r="O58" i="6"/>
  <c r="J58" i="6"/>
  <c r="F58" i="6"/>
  <c r="M57" i="6"/>
  <c r="I57" i="6"/>
  <c r="D57" i="6"/>
  <c r="L56" i="6"/>
  <c r="H56" i="6"/>
  <c r="C56" i="6"/>
  <c r="K55" i="6"/>
  <c r="G55" i="6"/>
  <c r="O54" i="6"/>
  <c r="J54" i="6"/>
  <c r="F54" i="6"/>
  <c r="M53" i="6"/>
  <c r="I53" i="6"/>
  <c r="D53" i="6"/>
  <c r="L52" i="6"/>
  <c r="H52" i="6"/>
  <c r="C52" i="6"/>
  <c r="L51" i="6"/>
  <c r="H51" i="6"/>
  <c r="C51" i="6"/>
  <c r="L50" i="6"/>
  <c r="H50" i="6"/>
  <c r="C50" i="6"/>
  <c r="L49" i="6"/>
  <c r="H49" i="6"/>
  <c r="C49" i="6"/>
  <c r="L48" i="6"/>
  <c r="H48" i="6"/>
  <c r="C48" i="6"/>
  <c r="L47" i="6"/>
  <c r="H47" i="6"/>
  <c r="C47" i="6"/>
  <c r="L46" i="6"/>
  <c r="H46" i="6"/>
  <c r="O152" i="6"/>
  <c r="D147" i="6"/>
  <c r="G141" i="6"/>
  <c r="I135" i="6"/>
  <c r="K129" i="6"/>
  <c r="M123" i="6"/>
  <c r="C118" i="6"/>
  <c r="F112" i="6"/>
  <c r="K109" i="6"/>
  <c r="F108" i="6"/>
  <c r="L106" i="6"/>
  <c r="G105" i="6"/>
  <c r="M103" i="6"/>
  <c r="H102" i="6"/>
  <c r="O100" i="6"/>
  <c r="I99" i="6"/>
  <c r="C98" i="6"/>
  <c r="J96" i="6"/>
  <c r="D95" i="6"/>
  <c r="K93" i="6"/>
  <c r="F92" i="6"/>
  <c r="L90" i="6"/>
  <c r="G89" i="6"/>
  <c r="M87" i="6"/>
  <c r="H86" i="6"/>
  <c r="O84" i="6"/>
  <c r="I83" i="6"/>
  <c r="C82" i="6"/>
  <c r="J80" i="6"/>
  <c r="D79" i="6"/>
  <c r="K77" i="6"/>
  <c r="D77" i="6"/>
  <c r="K76" i="6"/>
  <c r="G76" i="6"/>
  <c r="O75" i="6"/>
  <c r="J75" i="6"/>
  <c r="F75" i="6"/>
  <c r="M74" i="6"/>
  <c r="I74" i="6"/>
  <c r="D74" i="6"/>
  <c r="L73" i="6"/>
  <c r="H73" i="6"/>
  <c r="C73" i="6"/>
  <c r="K72" i="6"/>
  <c r="G72" i="6"/>
  <c r="O71" i="6"/>
  <c r="J71" i="6"/>
  <c r="F71" i="6"/>
  <c r="M70" i="6"/>
  <c r="I70" i="6"/>
  <c r="D70" i="6"/>
  <c r="L69" i="6"/>
  <c r="H69" i="6"/>
  <c r="C69" i="6"/>
  <c r="K68" i="6"/>
  <c r="G68" i="6"/>
  <c r="O67" i="6"/>
  <c r="J67" i="6"/>
  <c r="F67" i="6"/>
  <c r="M66" i="6"/>
  <c r="I66" i="6"/>
  <c r="D66" i="6"/>
  <c r="L65" i="6"/>
  <c r="H65" i="6"/>
  <c r="C65" i="6"/>
  <c r="K64" i="6"/>
  <c r="G64" i="6"/>
  <c r="O63" i="6"/>
  <c r="J63" i="6"/>
  <c r="F63" i="6"/>
  <c r="M62" i="6"/>
  <c r="I62" i="6"/>
  <c r="D62" i="6"/>
  <c r="L61" i="6"/>
  <c r="H61" i="6"/>
  <c r="C61" i="6"/>
  <c r="K60" i="6"/>
  <c r="G60" i="6"/>
  <c r="O59" i="6"/>
  <c r="J59" i="6"/>
  <c r="F59" i="6"/>
  <c r="M58" i="6"/>
  <c r="I58" i="6"/>
  <c r="D58" i="6"/>
  <c r="L57" i="6"/>
  <c r="H57" i="6"/>
  <c r="C57" i="6"/>
  <c r="K56" i="6"/>
  <c r="G56" i="6"/>
  <c r="O55" i="6"/>
  <c r="J55" i="6"/>
  <c r="F55" i="6"/>
  <c r="M54" i="6"/>
  <c r="I54" i="6"/>
  <c r="D54" i="6"/>
  <c r="L53" i="6"/>
  <c r="H53" i="6"/>
  <c r="C53" i="6"/>
  <c r="K52" i="6"/>
  <c r="G52" i="6"/>
  <c r="Q51" i="6"/>
  <c r="K51" i="6"/>
  <c r="G51" i="6"/>
  <c r="Q50" i="6"/>
  <c r="K50" i="6"/>
  <c r="G50" i="6"/>
  <c r="Q49" i="6"/>
  <c r="K49" i="6"/>
  <c r="G49" i="6"/>
  <c r="Q48" i="6"/>
  <c r="K48" i="6"/>
  <c r="G48" i="6"/>
  <c r="Q47" i="6"/>
  <c r="K47" i="6"/>
  <c r="G47" i="6"/>
  <c r="Q46" i="6"/>
  <c r="K46" i="6"/>
  <c r="G46" i="6"/>
  <c r="Q45" i="6"/>
  <c r="K45" i="6"/>
  <c r="G45" i="6"/>
  <c r="Q44" i="6"/>
  <c r="K44" i="6"/>
  <c r="G44" i="6"/>
  <c r="Q43" i="6"/>
  <c r="K43" i="6"/>
  <c r="G43" i="6"/>
  <c r="I151" i="6"/>
  <c r="K145" i="6"/>
  <c r="M139" i="6"/>
  <c r="C134" i="6"/>
  <c r="F128" i="6"/>
  <c r="H122" i="6"/>
  <c r="J116" i="6"/>
  <c r="C111" i="6"/>
  <c r="G109" i="6"/>
  <c r="M107" i="6"/>
  <c r="H106" i="6"/>
  <c r="O104" i="6"/>
  <c r="I103" i="6"/>
  <c r="C102" i="6"/>
  <c r="J100" i="6"/>
  <c r="D99" i="6"/>
  <c r="K97" i="6"/>
  <c r="F96" i="6"/>
  <c r="L94" i="6"/>
  <c r="G93" i="6"/>
  <c r="M91" i="6"/>
  <c r="H90" i="6"/>
  <c r="O88" i="6"/>
  <c r="I87" i="6"/>
  <c r="C86" i="6"/>
  <c r="J84" i="6"/>
  <c r="D83" i="6"/>
  <c r="K81" i="6"/>
  <c r="F80" i="6"/>
  <c r="L78" i="6"/>
  <c r="I77" i="6"/>
  <c r="O76" i="6"/>
  <c r="J76" i="6"/>
  <c r="F76" i="6"/>
  <c r="M75" i="6"/>
  <c r="I75" i="6"/>
  <c r="D75" i="6"/>
  <c r="L74" i="6"/>
  <c r="H74" i="6"/>
  <c r="C74" i="6"/>
  <c r="K73" i="6"/>
  <c r="G73" i="6"/>
  <c r="O72" i="6"/>
  <c r="J72" i="6"/>
  <c r="F72" i="6"/>
  <c r="M71" i="6"/>
  <c r="I71" i="6"/>
  <c r="D71" i="6"/>
  <c r="L70" i="6"/>
  <c r="H70" i="6"/>
  <c r="C70" i="6"/>
  <c r="K69" i="6"/>
  <c r="G69" i="6"/>
  <c r="O68" i="6"/>
  <c r="J68" i="6"/>
  <c r="F68" i="6"/>
  <c r="M67" i="6"/>
  <c r="I67" i="6"/>
  <c r="D67" i="6"/>
  <c r="L66" i="6"/>
  <c r="H66" i="6"/>
  <c r="C66" i="6"/>
  <c r="K65" i="6"/>
  <c r="G65" i="6"/>
  <c r="O64" i="6"/>
  <c r="J64" i="6"/>
  <c r="F64" i="6"/>
  <c r="M63" i="6"/>
  <c r="I63" i="6"/>
  <c r="D63" i="6"/>
  <c r="L62" i="6"/>
  <c r="H62" i="6"/>
  <c r="C62" i="6"/>
  <c r="K61" i="6"/>
  <c r="G61" i="6"/>
  <c r="O60" i="6"/>
  <c r="J60" i="6"/>
  <c r="F60" i="6"/>
  <c r="M59" i="6"/>
  <c r="I59" i="6"/>
  <c r="D59" i="6"/>
  <c r="L58" i="6"/>
  <c r="H58" i="6"/>
  <c r="C58" i="6"/>
  <c r="K57" i="6"/>
  <c r="G57" i="6"/>
  <c r="O56" i="6"/>
  <c r="J56" i="6"/>
  <c r="F56" i="6"/>
  <c r="M55" i="6"/>
  <c r="I55" i="6"/>
  <c r="D55" i="6"/>
  <c r="L54" i="6"/>
  <c r="H54" i="6"/>
  <c r="C54" i="6"/>
  <c r="K53" i="6"/>
  <c r="G53" i="6"/>
  <c r="O52" i="6"/>
  <c r="J52" i="6"/>
  <c r="F52" i="6"/>
  <c r="O51" i="6"/>
  <c r="J51" i="6"/>
  <c r="F51" i="6"/>
  <c r="O50" i="6"/>
  <c r="J50" i="6"/>
  <c r="F50" i="6"/>
  <c r="O49" i="6"/>
  <c r="J49" i="6"/>
  <c r="F49" i="6"/>
  <c r="O48" i="6"/>
  <c r="J48" i="6"/>
  <c r="F48" i="6"/>
  <c r="O47" i="6"/>
  <c r="J47" i="6"/>
  <c r="F47" i="6"/>
  <c r="O46" i="6"/>
  <c r="J46" i="6"/>
  <c r="F46" i="6"/>
  <c r="O45" i="6"/>
  <c r="J45" i="6"/>
  <c r="F45" i="6"/>
  <c r="O44" i="6"/>
  <c r="J44" i="6"/>
  <c r="F44" i="6"/>
  <c r="O43" i="6"/>
  <c r="J43" i="6"/>
  <c r="F43" i="6"/>
  <c r="O42" i="6"/>
  <c r="C150" i="6"/>
  <c r="L126" i="6"/>
  <c r="O108" i="6"/>
  <c r="D103" i="6"/>
  <c r="G97" i="6"/>
  <c r="I91" i="6"/>
  <c r="K85" i="6"/>
  <c r="M79" i="6"/>
  <c r="I76" i="6"/>
  <c r="C75" i="6"/>
  <c r="J73" i="6"/>
  <c r="D72" i="6"/>
  <c r="K70" i="6"/>
  <c r="F69" i="6"/>
  <c r="L67" i="6"/>
  <c r="G66" i="6"/>
  <c r="M64" i="6"/>
  <c r="H63" i="6"/>
  <c r="O61" i="6"/>
  <c r="I60" i="6"/>
  <c r="C59" i="6"/>
  <c r="J57" i="6"/>
  <c r="D56" i="6"/>
  <c r="K54" i="6"/>
  <c r="F53" i="6"/>
  <c r="M51" i="6"/>
  <c r="I50" i="6"/>
  <c r="D49" i="6"/>
  <c r="M47" i="6"/>
  <c r="I46" i="6"/>
  <c r="L45" i="6"/>
  <c r="C45" i="6"/>
  <c r="H44" i="6"/>
  <c r="L43" i="6"/>
  <c r="C43" i="6"/>
  <c r="K42" i="6"/>
  <c r="G42" i="6"/>
  <c r="Q41" i="6"/>
  <c r="K41" i="6"/>
  <c r="G41" i="6"/>
  <c r="Q40" i="6"/>
  <c r="K40" i="6"/>
  <c r="G40" i="6"/>
  <c r="Q39" i="6"/>
  <c r="K39" i="6"/>
  <c r="G39" i="6"/>
  <c r="Q38" i="6"/>
  <c r="K38" i="6"/>
  <c r="G38" i="6"/>
  <c r="Q37" i="6"/>
  <c r="K37" i="6"/>
  <c r="G37" i="6"/>
  <c r="Q36" i="6"/>
  <c r="K36" i="6"/>
  <c r="G36" i="6"/>
  <c r="Q35" i="6"/>
  <c r="K35" i="6"/>
  <c r="G35" i="6"/>
  <c r="Q34" i="6"/>
  <c r="K34" i="6"/>
  <c r="G34" i="6"/>
  <c r="Q33" i="6"/>
  <c r="K33" i="6"/>
  <c r="G33" i="6"/>
  <c r="Q32" i="6"/>
  <c r="K32" i="6"/>
  <c r="G32" i="6"/>
  <c r="Q31" i="6"/>
  <c r="K31" i="6"/>
  <c r="G31" i="6"/>
  <c r="Q30" i="6"/>
  <c r="K30" i="6"/>
  <c r="G30" i="6"/>
  <c r="Q29" i="6"/>
  <c r="K29" i="6"/>
  <c r="G29" i="6"/>
  <c r="Q28" i="6"/>
  <c r="K28" i="6"/>
  <c r="G28" i="6"/>
  <c r="Q27" i="6"/>
  <c r="K27" i="6"/>
  <c r="G27" i="6"/>
  <c r="Q26" i="6"/>
  <c r="K26" i="6"/>
  <c r="G26" i="6"/>
  <c r="Q25" i="6"/>
  <c r="K25" i="6"/>
  <c r="G25" i="6"/>
  <c r="Q24" i="6"/>
  <c r="K24" i="6"/>
  <c r="G24" i="6"/>
  <c r="Q23" i="6"/>
  <c r="K23" i="6"/>
  <c r="G23" i="6"/>
  <c r="Q22" i="6"/>
  <c r="K22" i="6"/>
  <c r="G22" i="6"/>
  <c r="Q21" i="6"/>
  <c r="K21" i="6"/>
  <c r="G21" i="6"/>
  <c r="Q20" i="6"/>
  <c r="K20" i="6"/>
  <c r="G20" i="6"/>
  <c r="Q19" i="6"/>
  <c r="K19" i="6"/>
  <c r="G19" i="6"/>
  <c r="Q18" i="6"/>
  <c r="K18" i="6"/>
  <c r="G18" i="6"/>
  <c r="Q17" i="6"/>
  <c r="K17" i="6"/>
  <c r="G17" i="6"/>
  <c r="Q16" i="6"/>
  <c r="K16" i="6"/>
  <c r="G16" i="6"/>
  <c r="Q15" i="6"/>
  <c r="K15" i="6"/>
  <c r="G15" i="6"/>
  <c r="L14" i="6"/>
  <c r="H14" i="6"/>
  <c r="C14" i="6"/>
  <c r="M13" i="6"/>
  <c r="I13" i="6"/>
  <c r="D13" i="6"/>
  <c r="O12" i="6"/>
  <c r="J12" i="6"/>
  <c r="F12" i="6"/>
  <c r="Q11" i="6"/>
  <c r="K11" i="6"/>
  <c r="G11" i="6"/>
  <c r="L10" i="6"/>
  <c r="H10" i="6"/>
  <c r="C10" i="6"/>
  <c r="O9" i="6"/>
  <c r="J9" i="6"/>
  <c r="F9" i="6"/>
  <c r="L8" i="6"/>
  <c r="H8" i="6"/>
  <c r="C8" i="6"/>
  <c r="O7" i="6"/>
  <c r="J7" i="6"/>
  <c r="F7" i="6"/>
  <c r="L6" i="6"/>
  <c r="H6" i="6"/>
  <c r="C6" i="6"/>
  <c r="O5" i="6"/>
  <c r="J5" i="6"/>
  <c r="F5" i="6"/>
  <c r="L4" i="6"/>
  <c r="H4" i="6"/>
  <c r="C4" i="6"/>
  <c r="O3" i="6"/>
  <c r="J3" i="6"/>
  <c r="F3" i="6"/>
  <c r="L2" i="6"/>
  <c r="H2" i="6"/>
  <c r="C2" i="6"/>
  <c r="Q1" i="6"/>
  <c r="F144" i="6"/>
  <c r="O120" i="6"/>
  <c r="I107" i="6"/>
  <c r="K101" i="6"/>
  <c r="M95" i="6"/>
  <c r="C90" i="6"/>
  <c r="F84" i="6"/>
  <c r="H78" i="6"/>
  <c r="D76" i="6"/>
  <c r="K74" i="6"/>
  <c r="F73" i="6"/>
  <c r="L71" i="6"/>
  <c r="G70" i="6"/>
  <c r="M68" i="6"/>
  <c r="H67" i="6"/>
  <c r="O65" i="6"/>
  <c r="I64" i="6"/>
  <c r="C63" i="6"/>
  <c r="J61" i="6"/>
  <c r="D60" i="6"/>
  <c r="K58" i="6"/>
  <c r="F57" i="6"/>
  <c r="L55" i="6"/>
  <c r="G54" i="6"/>
  <c r="M52" i="6"/>
  <c r="I51" i="6"/>
  <c r="D50" i="6"/>
  <c r="M48" i="6"/>
  <c r="I47" i="6"/>
  <c r="D46" i="6"/>
  <c r="I45" i="6"/>
  <c r="M44" i="6"/>
  <c r="D44" i="6"/>
  <c r="I43" i="6"/>
  <c r="Q42" i="6"/>
  <c r="J42" i="6"/>
  <c r="F42" i="6"/>
  <c r="O41" i="6"/>
  <c r="J41" i="6"/>
  <c r="F41" i="6"/>
  <c r="O40" i="6"/>
  <c r="J40" i="6"/>
  <c r="F40" i="6"/>
  <c r="O39" i="6"/>
  <c r="J39" i="6"/>
  <c r="F39" i="6"/>
  <c r="O38" i="6"/>
  <c r="J38" i="6"/>
  <c r="F38" i="6"/>
  <c r="O37" i="6"/>
  <c r="J37" i="6"/>
  <c r="F37" i="6"/>
  <c r="O36" i="6"/>
  <c r="J36" i="6"/>
  <c r="F36" i="6"/>
  <c r="O35" i="6"/>
  <c r="J35" i="6"/>
  <c r="F35" i="6"/>
  <c r="O34" i="6"/>
  <c r="J34" i="6"/>
  <c r="F34" i="6"/>
  <c r="O33" i="6"/>
  <c r="J33" i="6"/>
  <c r="F33" i="6"/>
  <c r="O32" i="6"/>
  <c r="J32" i="6"/>
  <c r="F32" i="6"/>
  <c r="O31" i="6"/>
  <c r="J31" i="6"/>
  <c r="F31" i="6"/>
  <c r="O30" i="6"/>
  <c r="J30" i="6"/>
  <c r="F30" i="6"/>
  <c r="O29" i="6"/>
  <c r="J29" i="6"/>
  <c r="F29" i="6"/>
  <c r="O28" i="6"/>
  <c r="J28" i="6"/>
  <c r="F28" i="6"/>
  <c r="O27" i="6"/>
  <c r="J27" i="6"/>
  <c r="F27" i="6"/>
  <c r="O26" i="6"/>
  <c r="J26" i="6"/>
  <c r="F26" i="6"/>
  <c r="O25" i="6"/>
  <c r="J25" i="6"/>
  <c r="F25" i="6"/>
  <c r="O24" i="6"/>
  <c r="J24" i="6"/>
  <c r="F24" i="6"/>
  <c r="O23" i="6"/>
  <c r="J23" i="6"/>
  <c r="F23" i="6"/>
  <c r="O22" i="6"/>
  <c r="J22" i="6"/>
  <c r="F22" i="6"/>
  <c r="O21" i="6"/>
  <c r="J21" i="6"/>
  <c r="F21" i="6"/>
  <c r="O20" i="6"/>
  <c r="J20" i="6"/>
  <c r="F20" i="6"/>
  <c r="O19" i="6"/>
  <c r="J19" i="6"/>
  <c r="F19" i="6"/>
  <c r="O18" i="6"/>
  <c r="J18" i="6"/>
  <c r="F18" i="6"/>
  <c r="O17" i="6"/>
  <c r="J17" i="6"/>
  <c r="F17" i="6"/>
  <c r="O16" i="6"/>
  <c r="J16" i="6"/>
  <c r="F16" i="6"/>
  <c r="O15" i="6"/>
  <c r="J15" i="6"/>
  <c r="F15" i="6"/>
  <c r="Q14" i="6"/>
  <c r="K14" i="6"/>
  <c r="G14" i="6"/>
  <c r="L13" i="6"/>
  <c r="H13" i="6"/>
  <c r="C13" i="6"/>
  <c r="M12" i="6"/>
  <c r="I12" i="6"/>
  <c r="D12" i="6"/>
  <c r="O11" i="6"/>
  <c r="J11" i="6"/>
  <c r="F11" i="6"/>
  <c r="Q10" i="6"/>
  <c r="K10" i="6"/>
  <c r="G10" i="6"/>
  <c r="M9" i="6"/>
  <c r="I9" i="6"/>
  <c r="D9" i="6"/>
  <c r="Q8" i="6"/>
  <c r="K8" i="6"/>
  <c r="G8" i="6"/>
  <c r="M7" i="6"/>
  <c r="I7" i="6"/>
  <c r="D7" i="6"/>
  <c r="Q6" i="6"/>
  <c r="K6" i="6"/>
  <c r="G6" i="6"/>
  <c r="M5" i="6"/>
  <c r="I5" i="6"/>
  <c r="D5" i="6"/>
  <c r="Q4" i="6"/>
  <c r="K4" i="6"/>
  <c r="G4" i="6"/>
  <c r="M3" i="6"/>
  <c r="I3" i="6"/>
  <c r="D3" i="6"/>
  <c r="Q2" i="6"/>
  <c r="K2" i="6"/>
  <c r="G2" i="6"/>
  <c r="H138" i="6"/>
  <c r="D115" i="6"/>
  <c r="C106" i="6"/>
  <c r="F100" i="6"/>
  <c r="H94" i="6"/>
  <c r="J88" i="6"/>
  <c r="L82" i="6"/>
  <c r="G77" i="6"/>
  <c r="L75" i="6"/>
  <c r="G74" i="6"/>
  <c r="M72" i="6"/>
  <c r="H71" i="6"/>
  <c r="O69" i="6"/>
  <c r="I68" i="6"/>
  <c r="C67" i="6"/>
  <c r="J65" i="6"/>
  <c r="D64" i="6"/>
  <c r="K62" i="6"/>
  <c r="F61" i="6"/>
  <c r="L59" i="6"/>
  <c r="G58" i="6"/>
  <c r="M56" i="6"/>
  <c r="H55" i="6"/>
  <c r="O53" i="6"/>
  <c r="I52" i="6"/>
  <c r="D51" i="6"/>
  <c r="M49" i="6"/>
  <c r="I48" i="6"/>
  <c r="D47" i="6"/>
  <c r="C46" i="6"/>
  <c r="H45" i="6"/>
  <c r="L44" i="6"/>
  <c r="C44" i="6"/>
  <c r="H43" i="6"/>
  <c r="M42" i="6"/>
  <c r="I42" i="6"/>
  <c r="D42" i="6"/>
  <c r="M41" i="6"/>
  <c r="I41" i="6"/>
  <c r="D41" i="6"/>
  <c r="M40" i="6"/>
  <c r="I40" i="6"/>
  <c r="D40" i="6"/>
  <c r="M39" i="6"/>
  <c r="I39" i="6"/>
  <c r="D39" i="6"/>
  <c r="M38" i="6"/>
  <c r="I38" i="6"/>
  <c r="D38" i="6"/>
  <c r="M37" i="6"/>
  <c r="I37" i="6"/>
  <c r="D37" i="6"/>
  <c r="M36" i="6"/>
  <c r="I36" i="6"/>
  <c r="D36" i="6"/>
  <c r="M35" i="6"/>
  <c r="I35" i="6"/>
  <c r="D35" i="6"/>
  <c r="M34" i="6"/>
  <c r="I34" i="6"/>
  <c r="D34" i="6"/>
  <c r="M33" i="6"/>
  <c r="I33" i="6"/>
  <c r="D33" i="6"/>
  <c r="M32" i="6"/>
  <c r="I32" i="6"/>
  <c r="D32" i="6"/>
  <c r="M31" i="6"/>
  <c r="I31" i="6"/>
  <c r="D31" i="6"/>
  <c r="M30" i="6"/>
  <c r="I30" i="6"/>
  <c r="D30" i="6"/>
  <c r="M29" i="6"/>
  <c r="I29" i="6"/>
  <c r="D29" i="6"/>
  <c r="M28" i="6"/>
  <c r="I28" i="6"/>
  <c r="D28" i="6"/>
  <c r="M27" i="6"/>
  <c r="I27" i="6"/>
  <c r="D27" i="6"/>
  <c r="M26" i="6"/>
  <c r="I26" i="6"/>
  <c r="D26" i="6"/>
  <c r="M25" i="6"/>
  <c r="I25" i="6"/>
  <c r="D25" i="6"/>
  <c r="M24" i="6"/>
  <c r="I24" i="6"/>
  <c r="D24" i="6"/>
  <c r="M23" i="6"/>
  <c r="I23" i="6"/>
  <c r="D23" i="6"/>
  <c r="M22" i="6"/>
  <c r="I22" i="6"/>
  <c r="D22" i="6"/>
  <c r="M21" i="6"/>
  <c r="I21" i="6"/>
  <c r="D21" i="6"/>
  <c r="M20" i="6"/>
  <c r="I20" i="6"/>
  <c r="D20" i="6"/>
  <c r="M19" i="6"/>
  <c r="I19" i="6"/>
  <c r="D19" i="6"/>
  <c r="M18" i="6"/>
  <c r="I18" i="6"/>
  <c r="D18" i="6"/>
  <c r="M17" i="6"/>
  <c r="I17" i="6"/>
  <c r="D17" i="6"/>
  <c r="M16" i="6"/>
  <c r="I16" i="6"/>
  <c r="D16" i="6"/>
  <c r="M15" i="6"/>
  <c r="I15" i="6"/>
  <c r="D15" i="6"/>
  <c r="O14" i="6"/>
  <c r="J14" i="6"/>
  <c r="F14" i="6"/>
  <c r="Q13" i="6"/>
  <c r="K13" i="6"/>
  <c r="G13" i="6"/>
  <c r="J132" i="6"/>
  <c r="H110" i="6"/>
  <c r="J104" i="6"/>
  <c r="L98" i="6"/>
  <c r="O92" i="6"/>
  <c r="D87" i="6"/>
  <c r="G81" i="6"/>
  <c r="M76" i="6"/>
  <c r="H75" i="6"/>
  <c r="O73" i="6"/>
  <c r="I72" i="6"/>
  <c r="C71" i="6"/>
  <c r="J69" i="6"/>
  <c r="D68" i="6"/>
  <c r="K66" i="6"/>
  <c r="F65" i="6"/>
  <c r="L63" i="6"/>
  <c r="G62" i="6"/>
  <c r="M60" i="6"/>
  <c r="H59" i="6"/>
  <c r="O57" i="6"/>
  <c r="I56" i="6"/>
  <c r="C55" i="6"/>
  <c r="J53" i="6"/>
  <c r="D52" i="6"/>
  <c r="M50" i="6"/>
  <c r="I49" i="6"/>
  <c r="D48" i="6"/>
  <c r="M46" i="6"/>
  <c r="M45" i="6"/>
  <c r="D45" i="6"/>
  <c r="I44" i="6"/>
  <c r="M43" i="6"/>
  <c r="D43" i="6"/>
  <c r="L42" i="6"/>
  <c r="H42" i="6"/>
  <c r="C42" i="6"/>
  <c r="L41" i="6"/>
  <c r="H41" i="6"/>
  <c r="C41" i="6"/>
  <c r="L40" i="6"/>
  <c r="H40" i="6"/>
  <c r="C40" i="6"/>
  <c r="L39" i="6"/>
  <c r="H39" i="6"/>
  <c r="C39" i="6"/>
  <c r="L38" i="6"/>
  <c r="H38" i="6"/>
  <c r="C38" i="6"/>
  <c r="L37" i="6"/>
  <c r="H37" i="6"/>
  <c r="C37" i="6"/>
  <c r="L36" i="6"/>
  <c r="H36" i="6"/>
  <c r="C36" i="6"/>
  <c r="L35" i="6"/>
  <c r="H35" i="6"/>
  <c r="C35" i="6"/>
  <c r="L34" i="6"/>
  <c r="H34" i="6"/>
  <c r="C34" i="6"/>
  <c r="L33" i="6"/>
  <c r="H33" i="6"/>
  <c r="C33" i="6"/>
  <c r="L32" i="6"/>
  <c r="H32" i="6"/>
  <c r="C32" i="6"/>
  <c r="L31" i="6"/>
  <c r="H31" i="6"/>
  <c r="C31" i="6"/>
  <c r="L30" i="6"/>
  <c r="H30" i="6"/>
  <c r="C30" i="6"/>
  <c r="L29" i="6"/>
  <c r="H29" i="6"/>
  <c r="C29" i="6"/>
  <c r="L28" i="6"/>
  <c r="H28" i="6"/>
  <c r="C28" i="6"/>
  <c r="L27" i="6"/>
  <c r="H27" i="6"/>
  <c r="C27" i="6"/>
  <c r="L26" i="6"/>
  <c r="H26" i="6"/>
  <c r="C26" i="6"/>
  <c r="L25" i="6"/>
  <c r="H25" i="6"/>
  <c r="C25" i="6"/>
  <c r="L24" i="6"/>
  <c r="H24" i="6"/>
  <c r="C24" i="6"/>
  <c r="L23" i="6"/>
  <c r="H23" i="6"/>
  <c r="C23" i="6"/>
  <c r="L22" i="6"/>
  <c r="H22" i="6"/>
  <c r="C22" i="6"/>
  <c r="L21" i="6"/>
  <c r="H21" i="6"/>
  <c r="C21" i="6"/>
  <c r="L20" i="6"/>
  <c r="H20" i="6"/>
  <c r="C20" i="6"/>
  <c r="L19" i="6"/>
  <c r="H19" i="6"/>
  <c r="C19" i="6"/>
  <c r="L18" i="6"/>
  <c r="H18" i="6"/>
  <c r="C18" i="6"/>
  <c r="L17" i="6"/>
  <c r="H17" i="6"/>
  <c r="C17" i="6"/>
  <c r="L16" i="6"/>
  <c r="H16" i="6"/>
  <c r="C16" i="6"/>
  <c r="L15" i="6"/>
  <c r="H15" i="6"/>
  <c r="C15" i="6"/>
  <c r="M14" i="6"/>
  <c r="I14" i="6"/>
  <c r="D14" i="6"/>
  <c r="O13" i="6"/>
  <c r="J13" i="6"/>
  <c r="F13" i="6"/>
  <c r="Q12" i="6"/>
  <c r="K12" i="6"/>
  <c r="G12" i="6"/>
  <c r="L12" i="6"/>
  <c r="M11" i="6"/>
  <c r="D11" i="6"/>
  <c r="M10" i="6"/>
  <c r="D10" i="6"/>
  <c r="L9" i="6"/>
  <c r="C9" i="6"/>
  <c r="M8" i="6"/>
  <c r="D8" i="6"/>
  <c r="L7" i="6"/>
  <c r="C7" i="6"/>
  <c r="M6" i="6"/>
  <c r="D6" i="6"/>
  <c r="L5" i="6"/>
  <c r="C5" i="6"/>
  <c r="M4" i="6"/>
  <c r="D4" i="6"/>
  <c r="L3" i="6"/>
  <c r="C3" i="6"/>
  <c r="M2" i="6"/>
  <c r="D2" i="6"/>
  <c r="H12" i="6"/>
  <c r="L11" i="6"/>
  <c r="C11" i="6"/>
  <c r="J10" i="6"/>
  <c r="K9" i="6"/>
  <c r="J8" i="6"/>
  <c r="K7" i="6"/>
  <c r="J6" i="6"/>
  <c r="K5" i="6"/>
  <c r="J4" i="6"/>
  <c r="K3" i="6"/>
  <c r="J2" i="6"/>
  <c r="C12" i="6"/>
  <c r="I11" i="6"/>
  <c r="I10" i="6"/>
  <c r="H9" i="6"/>
  <c r="I8" i="6"/>
  <c r="H7" i="6"/>
  <c r="I6" i="6"/>
  <c r="H5" i="6"/>
  <c r="I4" i="6"/>
  <c r="H3" i="6"/>
  <c r="I2" i="6"/>
  <c r="F10" i="6"/>
  <c r="G9" i="6"/>
  <c r="F8" i="6"/>
  <c r="G7" i="6"/>
  <c r="F6" i="6"/>
  <c r="G5" i="6"/>
  <c r="F4" i="6"/>
  <c r="G3" i="6"/>
  <c r="F2" i="6"/>
  <c r="H11" i="6"/>
  <c r="O10" i="6"/>
  <c r="O6" i="6"/>
  <c r="O2" i="6"/>
  <c r="Q7" i="6"/>
  <c r="Q3" i="6"/>
  <c r="O8" i="6"/>
  <c r="O4" i="6"/>
  <c r="R1" i="6"/>
  <c r="Q9" i="6"/>
  <c r="Q5" i="6"/>
  <c r="A2" i="10" l="1"/>
  <c r="A3" i="10"/>
  <c r="A3" i="9"/>
</calcChain>
</file>

<file path=xl/sharedStrings.xml><?xml version="1.0" encoding="utf-8"?>
<sst xmlns="http://schemas.openxmlformats.org/spreadsheetml/2006/main" count="1496" uniqueCount="812">
  <si>
    <t>ВСЕРОССИЙСКАЯ ФЕДЕРАЦИЯ САМБО</t>
  </si>
  <si>
    <t>СПИСОК ПРИЗЕРОВ ЮНОШИ</t>
  </si>
  <si>
    <t xml:space="preserve"> </t>
  </si>
  <si>
    <t>МЕСТО</t>
  </si>
  <si>
    <t>Ф.И.О</t>
  </si>
  <si>
    <t>Дата рожд., разряд</t>
  </si>
  <si>
    <t>округ</t>
  </si>
  <si>
    <t>субъект, город, ведомство</t>
  </si>
  <si>
    <t>Тренер</t>
  </si>
  <si>
    <t>Гл.секретарь, судья ВК</t>
  </si>
  <si>
    <t>46 кг</t>
  </si>
  <si>
    <t>49 кг</t>
  </si>
  <si>
    <t>53 кг</t>
  </si>
  <si>
    <t>58 кг</t>
  </si>
  <si>
    <t>64 кг</t>
  </si>
  <si>
    <t>71 кг</t>
  </si>
  <si>
    <t>79 кг</t>
  </si>
  <si>
    <t>88 кг</t>
  </si>
  <si>
    <t>Гл.судья, судья ВК</t>
  </si>
  <si>
    <t>Итого</t>
  </si>
  <si>
    <t xml:space="preserve">Алтайское </t>
  </si>
  <si>
    <t>Баево</t>
  </si>
  <si>
    <t>Барнаул</t>
  </si>
  <si>
    <t xml:space="preserve">Барнаул </t>
  </si>
  <si>
    <t>Бийск</t>
  </si>
  <si>
    <t xml:space="preserve">Бийск </t>
  </si>
  <si>
    <t xml:space="preserve">Быстрянка. </t>
  </si>
  <si>
    <t>г.Заринск</t>
  </si>
  <si>
    <t>Заринск</t>
  </si>
  <si>
    <t>Зональный район</t>
  </si>
  <si>
    <t>Красногорское</t>
  </si>
  <si>
    <t>Мамонтово</t>
  </si>
  <si>
    <t>Р. П. Благовещенка</t>
  </si>
  <si>
    <t>р.п. Благовещенка</t>
  </si>
  <si>
    <t>РП Благовещенка</t>
  </si>
  <si>
    <t xml:space="preserve">Славгород </t>
  </si>
  <si>
    <t>Смоленский район</t>
  </si>
  <si>
    <t>Табуны</t>
  </si>
  <si>
    <t xml:space="preserve">Шипуново </t>
  </si>
  <si>
    <t>ВК</t>
  </si>
  <si>
    <t>ШИМПФ Элеонора</t>
  </si>
  <si>
    <t>ШИМПФ Элеонора Вилорьевна</t>
  </si>
  <si>
    <t>10.01.02, КМС</t>
  </si>
  <si>
    <t>КМС</t>
  </si>
  <si>
    <t>СФО</t>
  </si>
  <si>
    <t>Алтайский, Барнаул, МС</t>
  </si>
  <si>
    <t>Алтайский</t>
  </si>
  <si>
    <t>Тюкин С. Г., Жданов В. В.</t>
  </si>
  <si>
    <t>МИРОНОВА  Кристина</t>
  </si>
  <si>
    <t>МИРОНОВА  Кристина  Александровна</t>
  </si>
  <si>
    <t>30.09.01, КМС</t>
  </si>
  <si>
    <t>Новосибирская, Новосибирск , МС</t>
  </si>
  <si>
    <t>Новосибирская</t>
  </si>
  <si>
    <t>Лепяхов С.В., Осипов А.Е.</t>
  </si>
  <si>
    <t>МУЖАНОВА  Татьяна</t>
  </si>
  <si>
    <t>МУЖАНОВА  Татьяна  Сергеевна</t>
  </si>
  <si>
    <t>09.04.89, МС</t>
  </si>
  <si>
    <t>МС</t>
  </si>
  <si>
    <t>ДВФО</t>
  </si>
  <si>
    <t>Р.Бурятия, Улан-Удэ , МС</t>
  </si>
  <si>
    <t>Р.Бурятия</t>
  </si>
  <si>
    <t>Омоктуев Б. Д., Бадмаев В. С.</t>
  </si>
  <si>
    <t>ПОЛЫГАЛОВА Ольга</t>
  </si>
  <si>
    <t>ПОЛЫГАЛОВА Ольга Сергеевна</t>
  </si>
  <si>
    <t>28.08.02, КМС</t>
  </si>
  <si>
    <t>ПФО</t>
  </si>
  <si>
    <t>Пермский, Березники, МО</t>
  </si>
  <si>
    <t>Пермский</t>
  </si>
  <si>
    <t>Клинов Э.Н. Клинова О.А.</t>
  </si>
  <si>
    <t>РЫЦИНА Диана</t>
  </si>
  <si>
    <t>РЫЦИНА Диана Дмитриевна</t>
  </si>
  <si>
    <t>11.04.02, КМС</t>
  </si>
  <si>
    <t>Красноярский, Сосновоборск , МС</t>
  </si>
  <si>
    <t>Красноярский</t>
  </si>
  <si>
    <t>Хрыкин М.М.</t>
  </si>
  <si>
    <t>ПАВЛОВА  Елизавета</t>
  </si>
  <si>
    <t>ПАВЛОВА  Елизавета  Алексеевна</t>
  </si>
  <si>
    <t>25.12.02, КМС</t>
  </si>
  <si>
    <t>Завалищев В.С.</t>
  </si>
  <si>
    <t>ТИСЛИНА Алина</t>
  </si>
  <si>
    <t>ТИСЛИНА Алина Денисовна</t>
  </si>
  <si>
    <t>30.07.03, КМС</t>
  </si>
  <si>
    <t>Новосибирская, Новосибирск, МО</t>
  </si>
  <si>
    <t>Завалищев. В. С</t>
  </si>
  <si>
    <t>СОЁНОВА  Наталья</t>
  </si>
  <si>
    <t>СОЁНОВА  Наталья Викторовна</t>
  </si>
  <si>
    <t>13.04.01, КМС</t>
  </si>
  <si>
    <t>Р.Алтай, Горно-Алтайск, Д</t>
  </si>
  <si>
    <t>Р.Алтай</t>
  </si>
  <si>
    <t>Бакрасов А.М.</t>
  </si>
  <si>
    <t>ВАСИЛЬЕВА  Екатерина</t>
  </si>
  <si>
    <t>ВАСИЛЬЕВА  Екатерина Ринатовна</t>
  </si>
  <si>
    <t>07.09.02, КМС</t>
  </si>
  <si>
    <t>Пермский, Краснокамск , МО</t>
  </si>
  <si>
    <t>Тюмин П.В., Мухаметшин Р.Г.</t>
  </si>
  <si>
    <t>СТАРОСТИНА Лидия</t>
  </si>
  <si>
    <t>СТАРОСТИНА Лидия  Дмитриевна</t>
  </si>
  <si>
    <t>26.09.99, КМС</t>
  </si>
  <si>
    <t>Алтайский, Барнаул , МС</t>
  </si>
  <si>
    <t>Мелихов Р.С. Жданов В.В</t>
  </si>
  <si>
    <t>ТОКТОБОЛОТ КЫЗЫ Сезим</t>
  </si>
  <si>
    <t>ТОКТОБОЛОТ КЫЗЫ Сезим Нет</t>
  </si>
  <si>
    <t>04.11.01, КМС</t>
  </si>
  <si>
    <t>Новосибирская, Новосибирск, МС</t>
  </si>
  <si>
    <t>ЛЕБЕДЬКО Кристина</t>
  </si>
  <si>
    <t>ЛЕБЕДЬКО Кристина Павловна</t>
  </si>
  <si>
    <t>17.01.03, КМС</t>
  </si>
  <si>
    <t>Новосибирская, Новосибирск , МО</t>
  </si>
  <si>
    <t>Цыганов С.В.,Орлов А.А</t>
  </si>
  <si>
    <t>ТРИГУБОВА  Юлия</t>
  </si>
  <si>
    <t>ТРИГУБОВА  Юлия  Дмитриевна</t>
  </si>
  <si>
    <t>25.12.01, МС</t>
  </si>
  <si>
    <t>Брыков И.А Орлов А.А</t>
  </si>
  <si>
    <t>НИЛОВА Елизавета</t>
  </si>
  <si>
    <t>НИЛОВА Елизавета Сергеевна</t>
  </si>
  <si>
    <t>10.03.03, КМС</t>
  </si>
  <si>
    <t>Цыганов С.В,Софронов С.К.</t>
  </si>
  <si>
    <t>МИТИНА Кристина</t>
  </si>
  <si>
    <t>МИТИНА Кристина Александровна</t>
  </si>
  <si>
    <t>05.03.02, КМС</t>
  </si>
  <si>
    <t>Якубенко К.А.</t>
  </si>
  <si>
    <t>ЧИРКОВА Екатерина</t>
  </si>
  <si>
    <t>ЧИРКОВА Екатерина Юрьевна</t>
  </si>
  <si>
    <t>22.06.02, КМС</t>
  </si>
  <si>
    <t>Алтайский, Барнаул, СС</t>
  </si>
  <si>
    <t>Чирков Ю.В.</t>
  </si>
  <si>
    <t>ЕВСТАФЬЕВА Вероника</t>
  </si>
  <si>
    <t>ЕВСТАФЬЕВА Вероника  Валерьевна</t>
  </si>
  <si>
    <t>08.07.01, КМС</t>
  </si>
  <si>
    <t>Сабитова Л.Б.</t>
  </si>
  <si>
    <t>80+</t>
  </si>
  <si>
    <t>ЧЕРНЫХ  Анжела</t>
  </si>
  <si>
    <t>ЧЕРНЫХ  Анжела  Евгеньевна</t>
  </si>
  <si>
    <t>03.09.02, КМС</t>
  </si>
  <si>
    <t>Федосеев М.Н.</t>
  </si>
  <si>
    <t>БЕЛЕЕВ Радмил</t>
  </si>
  <si>
    <t>БЕЛЕЕВ Радмил Вениаминович</t>
  </si>
  <si>
    <t>04.11.98, МС</t>
  </si>
  <si>
    <t>Тайпинов В.Л</t>
  </si>
  <si>
    <t>ИШМИН Айастан</t>
  </si>
  <si>
    <t>ИШМИН Айастан Ырыстунович</t>
  </si>
  <si>
    <t>10.05.99, МС</t>
  </si>
  <si>
    <t>Р.Алтай, Горно-Алтайск , МС</t>
  </si>
  <si>
    <t>КУДЮШЕВ Алексей</t>
  </si>
  <si>
    <t>КУДЮШЕВ Алексей Валерьевич</t>
  </si>
  <si>
    <t>15.02.99, КМС</t>
  </si>
  <si>
    <t>Р.Алтай, Горно-Алтайск, МС</t>
  </si>
  <si>
    <t>БАГИРОВ Авраам</t>
  </si>
  <si>
    <t>БАГИРОВ Авраам  Яшар оглы</t>
  </si>
  <si>
    <t>06.03.03, КМС</t>
  </si>
  <si>
    <t>Новосибирская, Новосибирск , СС</t>
  </si>
  <si>
    <t>Кулеш Павел  Кулеш Михаил</t>
  </si>
  <si>
    <t>ГНИЯТУЛЛИН Урал</t>
  </si>
  <si>
    <t>ГНИЯТУЛЛИН Урал Закирович</t>
  </si>
  <si>
    <t>12.01.02, КМС</t>
  </si>
  <si>
    <t>УФО</t>
  </si>
  <si>
    <t>Тюменская, Тюмень, МО</t>
  </si>
  <si>
    <t>Тюменская</t>
  </si>
  <si>
    <t>Горанин Е. А.</t>
  </si>
  <si>
    <t>ОНДАР  Аганак</t>
  </si>
  <si>
    <t>ОНДАР  Аганак  Николаевич</t>
  </si>
  <si>
    <t>17.03.99, КМС</t>
  </si>
  <si>
    <t>Р.Тыва, Кызыл, ВС</t>
  </si>
  <si>
    <t>Р.Тыва</t>
  </si>
  <si>
    <t>Монгуш А.А.</t>
  </si>
  <si>
    <t>ДАРМА Тамир</t>
  </si>
  <si>
    <t>ДАРМА Тамир Эдуардович</t>
  </si>
  <si>
    <t>15.04.02, КМС</t>
  </si>
  <si>
    <t>Р.Хакасия, Абакан, МС</t>
  </si>
  <si>
    <t>Р.Хакасия</t>
  </si>
  <si>
    <t>Таскараков ВМ</t>
  </si>
  <si>
    <t>ШОХОНОВ Доржо</t>
  </si>
  <si>
    <t>ШОХОНОВ Доржо Галсын-Доржиевич</t>
  </si>
  <si>
    <t>Р.Бурятия, Улан-Удэ , МО</t>
  </si>
  <si>
    <t>Будажапов.А.Ц</t>
  </si>
  <si>
    <t>ОНДАР Айдын</t>
  </si>
  <si>
    <t>ОНДАР Айдын Сылдысович</t>
  </si>
  <si>
    <t>06.08.01, КМС</t>
  </si>
  <si>
    <t>Монгуш.А.А</t>
  </si>
  <si>
    <t>ЛЕВКОВСКИЙ  Артем</t>
  </si>
  <si>
    <t>ЛЕВКОВСКИЙ  Артем Юрьевич</t>
  </si>
  <si>
    <t>22.08.00, КМС</t>
  </si>
  <si>
    <t>Орлова А.А., Постников Д.М.</t>
  </si>
  <si>
    <t>КУР Чимит-Дорж</t>
  </si>
  <si>
    <t>КУР Чимит-Дорж Евгеньевич</t>
  </si>
  <si>
    <t>26.03.00, КМС</t>
  </si>
  <si>
    <t>Митрохин Е.А. Постников Д. М.</t>
  </si>
  <si>
    <t>ЕНЧИНОВ  Амат</t>
  </si>
  <si>
    <t>ЕНЧИНОВ  Амат Эркинович</t>
  </si>
  <si>
    <t>Тайпинов В.Л.</t>
  </si>
  <si>
    <t>ЕРОХИН Виктор</t>
  </si>
  <si>
    <t>ЕРОХИН Виктор Валерьевич</t>
  </si>
  <si>
    <t>14.12.00, КМС</t>
  </si>
  <si>
    <t>Цыганов СВ</t>
  </si>
  <si>
    <t>ЧОЛДАК-ООЛ  Шоваа</t>
  </si>
  <si>
    <t>ЧОЛДАК-ООЛ  Шоваа Хеймер-оолович</t>
  </si>
  <si>
    <t>10.08.99, КМС</t>
  </si>
  <si>
    <t>Митрохин Е.В., Постников Д. М</t>
  </si>
  <si>
    <t>ОНХОНОВ Юрий</t>
  </si>
  <si>
    <t>ОНХОНОВ Юрий Викторович</t>
  </si>
  <si>
    <t>06.10.90, КМС</t>
  </si>
  <si>
    <t>Иркутская, Иркутск, МС</t>
  </si>
  <si>
    <t>Иркутская</t>
  </si>
  <si>
    <t>Ошурков Д.В.</t>
  </si>
  <si>
    <t>МОНГУШ  Омак</t>
  </si>
  <si>
    <t>МОНГУШ  Омак  Орланович</t>
  </si>
  <si>
    <t>30.12.93, МС</t>
  </si>
  <si>
    <t>Митрохин Е.А. Постников Д.М.</t>
  </si>
  <si>
    <t>АВЕТЯН  Эдгар</t>
  </si>
  <si>
    <t>АВЕТЯН  Эдгар  Эдвардович</t>
  </si>
  <si>
    <t>08.05.99, МС</t>
  </si>
  <si>
    <t>Лепяхов С.В. Постников Д.М.</t>
  </si>
  <si>
    <t>МАМЫЕВ Даурен</t>
  </si>
  <si>
    <t>МАМЫЕВ Даурен Серикович</t>
  </si>
  <si>
    <t>01.10.01, МС</t>
  </si>
  <si>
    <t>Жданов В.В., Тюкин С.Г.</t>
  </si>
  <si>
    <t>КУЛОВ Давид</t>
  </si>
  <si>
    <t>КУЛОВ Давид Игорьевич</t>
  </si>
  <si>
    <t>09.10.96, КМС</t>
  </si>
  <si>
    <t>Р.Татарстан, Казань, МС</t>
  </si>
  <si>
    <t>Р.Татарстан</t>
  </si>
  <si>
    <t>Иванов В.А., Абдуллин Р.Р.</t>
  </si>
  <si>
    <t>ХЕРЛИИ Маадыр</t>
  </si>
  <si>
    <t>ХЕРЛИИ Маадыр Иванович</t>
  </si>
  <si>
    <t>05.10.98, КМС</t>
  </si>
  <si>
    <t>Митрохин Е.А Постников Д.М</t>
  </si>
  <si>
    <t>МУРОДИЛЛАЕВ  Нодирбек</t>
  </si>
  <si>
    <t>МУРОДИЛЛАЕВ  Нодирбек  Обид угли</t>
  </si>
  <si>
    <t>04.10.92, КМС</t>
  </si>
  <si>
    <t>Новосибирская, Новосибирск , Д</t>
  </si>
  <si>
    <t>Кулеш П</t>
  </si>
  <si>
    <t>ТУРАЕВ Дилшод</t>
  </si>
  <si>
    <t>ТУРАЕВ Дилшод Рахим угли</t>
  </si>
  <si>
    <t>01.06.02, КМС</t>
  </si>
  <si>
    <t>Красноярский, Лесосибирск , МС</t>
  </si>
  <si>
    <t>Блинов М. Г</t>
  </si>
  <si>
    <t>АМИРАРСЛАНОВ  Роман</t>
  </si>
  <si>
    <t>АМИРАРСЛАНОВ  Роман Муталипович</t>
  </si>
  <si>
    <t>07.03.98, КМС</t>
  </si>
  <si>
    <t>Новосибирская, Новосибирск, Д</t>
  </si>
  <si>
    <t>Поспелов К.Г.</t>
  </si>
  <si>
    <t>ВАСЬКИН Виталий</t>
  </si>
  <si>
    <t>ВАСЬКИН Виталий Андреевич</t>
  </si>
  <si>
    <t>14.01.01, КМС</t>
  </si>
  <si>
    <t>Новосибирская, Новосибирск, СС</t>
  </si>
  <si>
    <t>Корюкин.О.Н., Постников.Д.М.</t>
  </si>
  <si>
    <t>ОНДАР  Долаан</t>
  </si>
  <si>
    <t>ОНДАР  Долаан Доруг-оолович</t>
  </si>
  <si>
    <t>14.09.95, МС</t>
  </si>
  <si>
    <t>Таскараков В.М.</t>
  </si>
  <si>
    <t>КУУЛАР Кан-Демир</t>
  </si>
  <si>
    <t>КУУЛАР Кан-Демир  Эдуардович</t>
  </si>
  <si>
    <t>10.01.96, КМС</t>
  </si>
  <si>
    <t>Будажапов А. Ц.</t>
  </si>
  <si>
    <t>КЫНЫРАКОВ  Александр</t>
  </si>
  <si>
    <t>КЫНЫРАКОВ  Александр Александрович</t>
  </si>
  <si>
    <t>18.02.97, КМС</t>
  </si>
  <si>
    <t>Бакрасов А М Тайпинов В Л</t>
  </si>
  <si>
    <t>ПАРАМОНОВ Савва</t>
  </si>
  <si>
    <t>ПАРАМОНОВ Савва Александрович</t>
  </si>
  <si>
    <t>02.06.00, КМС</t>
  </si>
  <si>
    <t>Гуща Р.А.</t>
  </si>
  <si>
    <t>КАРИМОВ Достон</t>
  </si>
  <si>
    <t>КАРИМОВ Достон Ихтиерович</t>
  </si>
  <si>
    <t>03.04.95, КМС</t>
  </si>
  <si>
    <t>ЦФО</t>
  </si>
  <si>
    <t>Воронежская, Воронеж, МС</t>
  </si>
  <si>
    <t>Воронежская</t>
  </si>
  <si>
    <t>Лебедев А.Е.</t>
  </si>
  <si>
    <t>ШКЛЯР владислав</t>
  </si>
  <si>
    <t>ШКЛЯР Владислав Владимирович</t>
  </si>
  <si>
    <t>Немцов Г.Н Шайхисламов И.М</t>
  </si>
  <si>
    <t>ДУЛГАРОВ Бэлигто</t>
  </si>
  <si>
    <t>ДУЛГАРОВ Бэлигто Бадмаевич</t>
  </si>
  <si>
    <t>29.04.98, КМС</t>
  </si>
  <si>
    <t>Р.Бурятия, Улан-Удэ, МО</t>
  </si>
  <si>
    <t>ОВЧИННИКОВ Сергей</t>
  </si>
  <si>
    <t>ОВЧИННИКОВ Сергей Юрьевич</t>
  </si>
  <si>
    <t>28.03.99, МС</t>
  </si>
  <si>
    <t>Иванов В.А.</t>
  </si>
  <si>
    <t>НАМСАРАЕВ Алдар</t>
  </si>
  <si>
    <t>НАМСАРАЕВ Алдар Валерьевич</t>
  </si>
  <si>
    <t>18.12.92, КМС</t>
  </si>
  <si>
    <t>Р.Бурятия, Улан-удэ , МО</t>
  </si>
  <si>
    <t>Жигжитов Ж.Б</t>
  </si>
  <si>
    <t>ЛИЗНЁВ Анатолий</t>
  </si>
  <si>
    <t>ЛИЗНЁВ Анатолий  Анатольевич</t>
  </si>
  <si>
    <t>30.07.02, КМС</t>
  </si>
  <si>
    <t>Завалищев В.С. Постников Д.М.</t>
  </si>
  <si>
    <t>ФЕДЯЙ Константин</t>
  </si>
  <si>
    <t>ФЕДЯЙ Константин Сергеевич</t>
  </si>
  <si>
    <t>08.10.94, КМС</t>
  </si>
  <si>
    <t>Новосибирская, Новосибирск, ВС</t>
  </si>
  <si>
    <t>Макаров Михаил</t>
  </si>
  <si>
    <t>КЕДЕНОВ Саян</t>
  </si>
  <si>
    <t>КЕДЕНОВ Саян Эркеменович</t>
  </si>
  <si>
    <t>14.10.95, МС</t>
  </si>
  <si>
    <t>Р.Алтай, Горно- Алтайск , ПР</t>
  </si>
  <si>
    <t>Конунов А.А Шилинов А.С</t>
  </si>
  <si>
    <t>ЗАМБЫЛОВ Владислав</t>
  </si>
  <si>
    <t>ЗАМБЫЛОВ Владислав Кириллович</t>
  </si>
  <si>
    <t>27.01.00, КМС</t>
  </si>
  <si>
    <t>Поспелов К.Г., Михалевич А.И.</t>
  </si>
  <si>
    <t>АСКЫЖАКОВ Виталий</t>
  </si>
  <si>
    <t>АСКЫЖАКОВ Виталий Викторович</t>
  </si>
  <si>
    <t>27.06.93, КМС</t>
  </si>
  <si>
    <t>А.М.Яйткаов</t>
  </si>
  <si>
    <t>МИНИХАНОВ Салават</t>
  </si>
  <si>
    <t>МИНИХАНОВ Салават Василович</t>
  </si>
  <si>
    <t>26.08.02, КМС</t>
  </si>
  <si>
    <t>Блинов М. Г.</t>
  </si>
  <si>
    <t>БАТОМУНКУЕВ Алдар</t>
  </si>
  <si>
    <t>БАТОМУНКУЕВ Алдар Галданович</t>
  </si>
  <si>
    <t>31.10.97, КМС</t>
  </si>
  <si>
    <t>Будажапов Андрей Цырендоржиевич</t>
  </si>
  <si>
    <t>ОЛЧОНОВ Эжер</t>
  </si>
  <si>
    <t>ОЛЧОНОВ Эжер Станиславович</t>
  </si>
  <si>
    <t>03.06.01, МС</t>
  </si>
  <si>
    <t>Р.Алтай, Горно алтайск, ПР</t>
  </si>
  <si>
    <t>Кеденов с .э</t>
  </si>
  <si>
    <t>ИСМАИЛОВ  Гурбан</t>
  </si>
  <si>
    <t>ИСМАИЛОВ  Гурбан  Садраддин оглы</t>
  </si>
  <si>
    <t>14.02.02, КМС</t>
  </si>
  <si>
    <t>Р.Хакасия, Абакан , МС</t>
  </si>
  <si>
    <t>Миягашев П.Н</t>
  </si>
  <si>
    <t>ЖЕРАВИН Антон</t>
  </si>
  <si>
    <t>ЖЕРАВИН Антон Николаевич</t>
  </si>
  <si>
    <t>07.08.88, КМС</t>
  </si>
  <si>
    <t>Кулеш П.В., Немцов Г.Н</t>
  </si>
  <si>
    <t>ИВАНОВ Вячеслав</t>
  </si>
  <si>
    <t>ИВАНОВ Вячеслав Васильевич</t>
  </si>
  <si>
    <t>24.06.02, КМС</t>
  </si>
  <si>
    <t>СУХАРЕВ Кирилл</t>
  </si>
  <si>
    <t>СУХАРЕВ Кирилл Игоревич</t>
  </si>
  <si>
    <t>07.06.93, МС</t>
  </si>
  <si>
    <t>Ярославская, Ярославль, МС</t>
  </si>
  <si>
    <t>Ярославская</t>
  </si>
  <si>
    <t>Усачев А.М., Шичкин Е.Н.</t>
  </si>
  <si>
    <t>ГУЧИНОВ Инал</t>
  </si>
  <si>
    <t>ГУЧИНОВ Инал Рашадович</t>
  </si>
  <si>
    <t>24.04.03, КМС</t>
  </si>
  <si>
    <t>ИВОЛГА  Егор</t>
  </si>
  <si>
    <t>ИВОЛГА  Егор  Яковлевич</t>
  </si>
  <si>
    <t>06.07.02, КМС</t>
  </si>
  <si>
    <t>Новосибирская, Новосибирск , ВС</t>
  </si>
  <si>
    <t>МАГОМЕДОВ Амир</t>
  </si>
  <si>
    <t>МАГОМЕДОВ Амир Магомедович</t>
  </si>
  <si>
    <t>30.10.98, КМС</t>
  </si>
  <si>
    <t>Поспелов К.Г</t>
  </si>
  <si>
    <t>РАХИМЖАНОВ Абубакир</t>
  </si>
  <si>
    <t>РАХИМЖАНОВ Абубакир Парахидинович</t>
  </si>
  <si>
    <t>29.06.98, МС</t>
  </si>
  <si>
    <t>Камчатский, П-Камчатский, МС</t>
  </si>
  <si>
    <t>Камчатский</t>
  </si>
  <si>
    <t>Садуев С.А., Галянт С.А.</t>
  </si>
  <si>
    <t>КУУЛАР Найдан</t>
  </si>
  <si>
    <t>КУУЛАР Найдан Васильевич</t>
  </si>
  <si>
    <t>27.11.97, МС</t>
  </si>
  <si>
    <t>Митрохин Е.А., Постников Д.М.</t>
  </si>
  <si>
    <t>ХИКМАТОВ Лазиз</t>
  </si>
  <si>
    <t>ХИКМАТОВ Лазиз Гайрат угли</t>
  </si>
  <si>
    <t>04.11.96, КМС</t>
  </si>
  <si>
    <t>Завалищев В. С.</t>
  </si>
  <si>
    <t>КЕРИМЛИ Насыр</t>
  </si>
  <si>
    <t>КЕРИМЛИ Насыр Этибарович</t>
  </si>
  <si>
    <t>03.09.94, КМС</t>
  </si>
  <si>
    <t>Кулеш Михаил, Кулеш Павел</t>
  </si>
  <si>
    <t>УМАРОВ  Магомед</t>
  </si>
  <si>
    <t>УМАРОВ  Магомед  Русланович</t>
  </si>
  <si>
    <t>09.10.98, КМС</t>
  </si>
  <si>
    <t>Кулеш П.В.    Мажара А.А</t>
  </si>
  <si>
    <t>ГАСАНОВ Руслан</t>
  </si>
  <si>
    <t>ГАСАНОВ Руслан Натигович</t>
  </si>
  <si>
    <t>26.04.01, МС</t>
  </si>
  <si>
    <t>Иванов В.А., Султанов Р.Ф.</t>
  </si>
  <si>
    <t>ЗАЙНУТДИНОВ  Ренас</t>
  </si>
  <si>
    <t>ЗАЙНУТДИНОВ  Ренас Раисович</t>
  </si>
  <si>
    <t>03.06.00, МС</t>
  </si>
  <si>
    <t>Р.Татарстан, Казань , МС</t>
  </si>
  <si>
    <t>НИЛОВ  Дмитрий</t>
  </si>
  <si>
    <t>НИЛОВ  Дмитрий  Сергеевич</t>
  </si>
  <si>
    <t>09.10.99, МС</t>
  </si>
  <si>
    <t>Цыганов С.В.</t>
  </si>
  <si>
    <t>НОЗИМЗОДА Шахбози</t>
  </si>
  <si>
    <t>НОЗИМЗОДА Шахбози Сирожиддин</t>
  </si>
  <si>
    <t>08.03.99, МС</t>
  </si>
  <si>
    <t>МАЛЫГИН  Александр</t>
  </si>
  <si>
    <t>МАЛЫГИН  Александр  Николаевич</t>
  </si>
  <si>
    <t>10.03.01, МС</t>
  </si>
  <si>
    <t>Гуща Р.А. Постников Д.М. Чупрасов П.А.</t>
  </si>
  <si>
    <t>КЕРЕКСИБЕСОВ  Айат</t>
  </si>
  <si>
    <t>КЕРЕКСИБЕСОВ  Айат  Владимирович</t>
  </si>
  <si>
    <t>17.09.97, МС</t>
  </si>
  <si>
    <t>Жданов В.В., Тюкин С.Г</t>
  </si>
  <si>
    <t>СУЛЕЙМАНОВ  Вали</t>
  </si>
  <si>
    <t>СУЛЕЙМАНОВ  Вали Исфандияр оглы</t>
  </si>
  <si>
    <t>20.04.99, МС</t>
  </si>
  <si>
    <t>Кемеровская, г. Новокузнецк, МС</t>
  </si>
  <si>
    <t>Кемеровская</t>
  </si>
  <si>
    <t>КызлаковЛ.А.,</t>
  </si>
  <si>
    <t>НОСИРОВ Шарифджон</t>
  </si>
  <si>
    <t>НОСИРОВ Шарифджон Олимхуджаевич</t>
  </si>
  <si>
    <t>19.01.98, КМС</t>
  </si>
  <si>
    <t>Новак А В</t>
  </si>
  <si>
    <t>МУХОРТОВ Игорь</t>
  </si>
  <si>
    <t>МУХОРТОВ Игорь Сергеевич</t>
  </si>
  <si>
    <t>21.07.98, КМС</t>
  </si>
  <si>
    <t>РЕПИН Владислав</t>
  </si>
  <si>
    <t>РЕПИН Владислав  Олегович</t>
  </si>
  <si>
    <t>09.09.00, КМС</t>
  </si>
  <si>
    <t>Паспелов К.Г</t>
  </si>
  <si>
    <t>ДАШИНИМАЕВ Болот</t>
  </si>
  <si>
    <t>ДАШИНИМАЕВ Болот Банзарович</t>
  </si>
  <si>
    <t>24.11.92, КМС</t>
  </si>
  <si>
    <t>Цыдыпов Б.В</t>
  </si>
  <si>
    <t>БУДОЖАПОВ Баир</t>
  </si>
  <si>
    <t>БУДОЖАПОВ Баир Владимирович</t>
  </si>
  <si>
    <t>28.02.01, КМС</t>
  </si>
  <si>
    <t>МИКОЛКИН  Илья</t>
  </si>
  <si>
    <t>МИКОЛКИН  Илья Владимирович</t>
  </si>
  <si>
    <t>28.03.00, КМС</t>
  </si>
  <si>
    <t>ГАМИДОВ Аслан</t>
  </si>
  <si>
    <t>ГАМИДОВ Аслан Чингиз оглы</t>
  </si>
  <si>
    <t>22.01.97, МС</t>
  </si>
  <si>
    <t>Завалищев В. С. Постников Д. М.</t>
  </si>
  <si>
    <t>КИРИЛЛОВ Савелий</t>
  </si>
  <si>
    <t>КИРИЛЛОВ Савелий Викторович</t>
  </si>
  <si>
    <t>01.08.02, КМС</t>
  </si>
  <si>
    <t>Мордвинов АИ</t>
  </si>
  <si>
    <t>БЕКНАЗАРОВ Бектур</t>
  </si>
  <si>
    <t>БЕКНАЗАРОВ Бектур Смаилоаич</t>
  </si>
  <si>
    <t>11.07.93, КМС</t>
  </si>
  <si>
    <t>Р.Алтай, Горно-Алтайск, ПР</t>
  </si>
  <si>
    <t>Яйтаков. А.М. Тайпинов В. Л.</t>
  </si>
  <si>
    <t>КУКАВСКИЙ Сергей</t>
  </si>
  <si>
    <t>КУКАВСКИЙ Сергей Дмитриевич</t>
  </si>
  <si>
    <t>24.05.02, КМС</t>
  </si>
  <si>
    <t>Красноярский, Красноярск , МС</t>
  </si>
  <si>
    <t>Салтанов А.В.</t>
  </si>
  <si>
    <t>ТАРАКИН  Владислав</t>
  </si>
  <si>
    <t>ТАРАКИН  Владислав Вячеславович</t>
  </si>
  <si>
    <t>12.09.98, КМС</t>
  </si>
  <si>
    <t>Кулеш М.В.</t>
  </si>
  <si>
    <t>СЕРКОВ Руслан</t>
  </si>
  <si>
    <t>СЕРКОВ Руслан  Иванович</t>
  </si>
  <si>
    <t>18.02.52, КМС</t>
  </si>
  <si>
    <t>Кулеш П.В Кулеш М.В</t>
  </si>
  <si>
    <t>ГАДЖИЕВ Равил</t>
  </si>
  <si>
    <t>ГАДЖИЕВ Равил Насруллахович</t>
  </si>
  <si>
    <t>08.12.95, КМС</t>
  </si>
  <si>
    <t>Кулеш П.В.</t>
  </si>
  <si>
    <t>АКАЕВ Азамат</t>
  </si>
  <si>
    <t>АКАЕВ Азамат Арсенович</t>
  </si>
  <si>
    <t>07.01.98, КМС</t>
  </si>
  <si>
    <t>БУРОВ Олег</t>
  </si>
  <si>
    <t>БУРОВ Олег Олегович</t>
  </si>
  <si>
    <t>05.09.02, КМС</t>
  </si>
  <si>
    <t>Самарская, Самара, МС</t>
  </si>
  <si>
    <t>Самарская</t>
  </si>
  <si>
    <t>ВЛАДИМИРОВ Артём</t>
  </si>
  <si>
    <t>ВЛАДИМИРОВ Артём Юрьевич</t>
  </si>
  <si>
    <t>29.08.00, КМС</t>
  </si>
  <si>
    <t>ГУСЕВ Александр</t>
  </si>
  <si>
    <t>ГУСЕВ Александр  Валерьевич</t>
  </si>
  <si>
    <t>02.02.96, КМС</t>
  </si>
  <si>
    <t>Постников ДМ</t>
  </si>
  <si>
    <t>КАМАЛДИНОВ  Алик</t>
  </si>
  <si>
    <t>КАМАЛДИНОВ  Алик Галифатович</t>
  </si>
  <si>
    <t>20.04.98, КМС</t>
  </si>
  <si>
    <t>Кулеш П.В</t>
  </si>
  <si>
    <t>ШВЕЦОВ Матвей</t>
  </si>
  <si>
    <t>ШВЕЦОВ Матвей Григорьевич</t>
  </si>
  <si>
    <t>09.07.99, КМС</t>
  </si>
  <si>
    <t>Тюменская, Тюмень , ВС</t>
  </si>
  <si>
    <t>Николаев А.А.</t>
  </si>
  <si>
    <t>ЯББАРОВ Ирек</t>
  </si>
  <si>
    <t>ЯББАРОВ Ирек Раилевич</t>
  </si>
  <si>
    <t>11.09.99, КМС</t>
  </si>
  <si>
    <t>Р.Татарстан, Казань , ВС</t>
  </si>
  <si>
    <t>Гонышев А.В.</t>
  </si>
  <si>
    <t>САБИТОВ Тагир</t>
  </si>
  <si>
    <t>САБИТОВ Тагир Ильвартович</t>
  </si>
  <si>
    <t>27.12.01, КМС</t>
  </si>
  <si>
    <t>Иванов В.А</t>
  </si>
  <si>
    <t>ГАФОРОВ Руслан</t>
  </si>
  <si>
    <t>ГАФОРОВ Руслан Райимович</t>
  </si>
  <si>
    <t>16.10.01, КМС</t>
  </si>
  <si>
    <t>Кызлаков Л.А.,Аминов Д.Г.</t>
  </si>
  <si>
    <t>ПОЛЕЩУК Дмитрий</t>
  </si>
  <si>
    <t>ПОЛЕЩУК Дмитрий  Александрович</t>
  </si>
  <si>
    <t>15.05.02, КМС</t>
  </si>
  <si>
    <t>Красноярский, Лесосибирск, МС</t>
  </si>
  <si>
    <t>Блинов М.Г</t>
  </si>
  <si>
    <t>ХАРИТОНОВ Вячеслав</t>
  </si>
  <si>
    <t>ХАРИТОНОВ Вячеслав Николаевич</t>
  </si>
  <si>
    <t>06.08.89, МС</t>
  </si>
  <si>
    <t>Красноярский, Красноярск, МС</t>
  </si>
  <si>
    <t>Казанцев.И.О</t>
  </si>
  <si>
    <t>АБРАМОВ Тимофей</t>
  </si>
  <si>
    <t>АБРАМОВ Тимофей Романович</t>
  </si>
  <si>
    <t>14.07.00, МС</t>
  </si>
  <si>
    <t>Чупрасов П.А.,Постников Д.М.</t>
  </si>
  <si>
    <t>ДЕНИСОВ  Роман</t>
  </si>
  <si>
    <t>ДЕНИСОВ  Роман  Владимирович</t>
  </si>
  <si>
    <t>27.01.98, КМС</t>
  </si>
  <si>
    <t>Груздев, Шереметьев</t>
  </si>
  <si>
    <t>ВАСИЛЕНКО Алексей</t>
  </si>
  <si>
    <t>ВАСИЛЕНКО Алексей Васильевич</t>
  </si>
  <si>
    <t>10.10.89, КМС</t>
  </si>
  <si>
    <t>Р.Башкортостан, Уфа, МС</t>
  </si>
  <si>
    <t>Р.Башкортостан</t>
  </si>
  <si>
    <t>Ахметвалеев ИФ</t>
  </si>
  <si>
    <t>ЕКИМЕНКО  Дмитрий</t>
  </si>
  <si>
    <t>ЕКИМЕНКО  Дмитрий Александрович</t>
  </si>
  <si>
    <t>02.05.97, КМС</t>
  </si>
  <si>
    <t>Немцов Г.Н.</t>
  </si>
  <si>
    <t>ЛОГУА  Мириан</t>
  </si>
  <si>
    <t>ЛОГУА  Мириан  Кобаевич</t>
  </si>
  <si>
    <t>20.10.99, КМС</t>
  </si>
  <si>
    <t>Гуща Р.А</t>
  </si>
  <si>
    <t>СТОЙЛИК Станислав</t>
  </si>
  <si>
    <t>СТОЙЛИК Станислав Сергеевич</t>
  </si>
  <si>
    <t>28.07.94, КМС</t>
  </si>
  <si>
    <t>Омская, Омск, МО</t>
  </si>
  <si>
    <t>Омская</t>
  </si>
  <si>
    <t>Якубович Д.А.</t>
  </si>
  <si>
    <t>ДОРОФЕЕВ Дмитрий</t>
  </si>
  <si>
    <t>ДОРОФЕЕВ Дмитрий  Алексеевич</t>
  </si>
  <si>
    <t>23.05.03, КМС</t>
  </si>
  <si>
    <t>Угрюмов А .А</t>
  </si>
  <si>
    <t>ЕРОШЕНКО  Артём</t>
  </si>
  <si>
    <t>ЕРОШЕНКО  Артём  Юрьевич</t>
  </si>
  <si>
    <t>11.11.99, КМС</t>
  </si>
  <si>
    <t>БЕККЕР  Антон</t>
  </si>
  <si>
    <t>БЕККЕР  Антон Владимирович</t>
  </si>
  <si>
    <t>10.07.00, КМС</t>
  </si>
  <si>
    <t>Поспелов К.Г Михалевич А.И</t>
  </si>
  <si>
    <t>98+</t>
  </si>
  <si>
    <t>КОЛОСС Сергей</t>
  </si>
  <si>
    <t>КОЛОСС Сергей  Игоревич</t>
  </si>
  <si>
    <t>21.07.00, КМС</t>
  </si>
  <si>
    <t>Шипуново</t>
  </si>
  <si>
    <t>Всероссийские соревнования по самбо "Кубок Сибири" посвященные памяти Героя России Юрия Климва (ЕКП №37193, КП НСО №02-0615)</t>
  </si>
  <si>
    <t>Протокол мандатной комиссии мужчины, женщины, боевое самбо.</t>
  </si>
  <si>
    <t>ВЕСОВЫЕ КАТЕГОРИИ</t>
  </si>
  <si>
    <t>Амурская</t>
  </si>
  <si>
    <t>Владимирская</t>
  </si>
  <si>
    <t>Ивановская</t>
  </si>
  <si>
    <t>Санкт-Петербург</t>
  </si>
  <si>
    <t>Свердловская</t>
  </si>
  <si>
    <t>Томская</t>
  </si>
  <si>
    <t>Чувашская</t>
  </si>
  <si>
    <t>Кочкин И.В.</t>
  </si>
  <si>
    <t>/ Иркутск /</t>
  </si>
  <si>
    <t>Мордовин С.Н.</t>
  </si>
  <si>
    <t>/ Р.Алтай /</t>
  </si>
  <si>
    <t>СПИСОК СУБЪЕКТОВ РФ</t>
  </si>
  <si>
    <t>Алтайский край</t>
  </si>
  <si>
    <t>Владимирская область</t>
  </si>
  <si>
    <t>Забайкальский край</t>
  </si>
  <si>
    <t>Иркутская область</t>
  </si>
  <si>
    <t>Кемеровская область</t>
  </si>
  <si>
    <t>Красноярский край</t>
  </si>
  <si>
    <t>Курганская область</t>
  </si>
  <si>
    <t>Московская область</t>
  </si>
  <si>
    <t>Новосибирская область</t>
  </si>
  <si>
    <t>Пензинская область</t>
  </si>
  <si>
    <t>Пермский край</t>
  </si>
  <si>
    <t>Республика Алтай</t>
  </si>
  <si>
    <t>Республика Калмыкия</t>
  </si>
  <si>
    <t>Республика Тыва</t>
  </si>
  <si>
    <t>Республика Хакасия</t>
  </si>
  <si>
    <t>Свердловская область</t>
  </si>
  <si>
    <t>Томская область</t>
  </si>
  <si>
    <t>Тюменская область</t>
  </si>
  <si>
    <t>ХМАО-Югра</t>
  </si>
  <si>
    <t>Челябинская область</t>
  </si>
  <si>
    <t>ЯНАО</t>
  </si>
  <si>
    <t xml:space="preserve">     Гл.судья, судья ВК                                                          Вышегородцев Д.Е./ Северск /</t>
  </si>
  <si>
    <t>Вышегородцев Д.Е.</t>
  </si>
  <si>
    <t>/ Северск /</t>
  </si>
  <si>
    <t xml:space="preserve">     Гл.секретарь, судья ВК                                                  Трескин С.М. / Бийск /</t>
  </si>
  <si>
    <t>Трескин С.М.</t>
  </si>
  <si>
    <t>/ Бийск /</t>
  </si>
  <si>
    <t>Бийск, СШОР №3</t>
  </si>
  <si>
    <t>САМЕДОВ Аким Анарович</t>
  </si>
  <si>
    <t>12.11.11, б/р</t>
  </si>
  <si>
    <t>Бийск, СШОР №3, МС</t>
  </si>
  <si>
    <t>Демьяненко С.А., Димитриенко И.В.</t>
  </si>
  <si>
    <t>АРХИПОВ Дмитрий Денисович</t>
  </si>
  <si>
    <t>19.08.11, б/р</t>
  </si>
  <si>
    <t>Кайгородов О.С. Теренин П.В.</t>
  </si>
  <si>
    <t>КОСАРЕВ Николай Романович</t>
  </si>
  <si>
    <t>20.10.10, 2юн</t>
  </si>
  <si>
    <t>Демьяненко С.А., Евтушенко Д.Ю.</t>
  </si>
  <si>
    <t>БЕСЕНЁВ Ярослав Николаевич</t>
  </si>
  <si>
    <t>10.06.11, б/р</t>
  </si>
  <si>
    <t>СМОЛИН Матвей Алексеевич</t>
  </si>
  <si>
    <t>15.10.10, 3юн</t>
  </si>
  <si>
    <t>Акулов В.Н., Шевцова Е.В.</t>
  </si>
  <si>
    <t>МУРЗИН  Богдан  Евгеньевич</t>
  </si>
  <si>
    <t>11.01.11, 3юн</t>
  </si>
  <si>
    <t>Дурыманов НВ</t>
  </si>
  <si>
    <t>ДМИТРИЕВ Андрей Александрович</t>
  </si>
  <si>
    <t>22.06.10, б/р</t>
  </si>
  <si>
    <t>КАРЛОВСКИЙ Кирилл Игоревич</t>
  </si>
  <si>
    <t>12.03.10, б/р</t>
  </si>
  <si>
    <t>Бийск, СШОР №3, МО</t>
  </si>
  <si>
    <t>Гаврилов В. В, Кайгородов О. С</t>
  </si>
  <si>
    <t>КОВАЛЁВ Фёдор Петрович</t>
  </si>
  <si>
    <t>25.08.11, б/р</t>
  </si>
  <si>
    <t>38 кг</t>
  </si>
  <si>
    <t>ПЕРОВ Александр Евгеньевич</t>
  </si>
  <si>
    <t>13.09.10, б/р</t>
  </si>
  <si>
    <t>Гаврилов В.В. Асадова А.В</t>
  </si>
  <si>
    <t>50 кг</t>
  </si>
  <si>
    <t>БЕЛЯКОВ Егор Анатольевич</t>
  </si>
  <si>
    <t>16.03.10, б/р</t>
  </si>
  <si>
    <t>/ г. Бийск /</t>
  </si>
  <si>
    <t>#N/A</t>
  </si>
  <si>
    <t>Краевые соревнования по самбо XLV спартакиады спортивных школ среди юношей и девушек 14-16 лет (ЕКП 57.2)</t>
  </si>
  <si>
    <t>17-19.01.2025 г.                                                                                        г.Бийск</t>
  </si>
  <si>
    <t>42 кг</t>
  </si>
  <si>
    <t>ГИЛЬДЕРМАН Михаил Анатольевич</t>
  </si>
  <si>
    <t>22.01.11, 2юн</t>
  </si>
  <si>
    <t>Быстрянка. , БСШ</t>
  </si>
  <si>
    <t xml:space="preserve">Мясников И. И. </t>
  </si>
  <si>
    <t>17.11.11, 3сп</t>
  </si>
  <si>
    <t>Бийск, "СШОР N°3" им. А. Гуляева</t>
  </si>
  <si>
    <t>ЛИФИНЦЕВ Кирилл Сергеевич</t>
  </si>
  <si>
    <t>22.07.10, 2юн</t>
  </si>
  <si>
    <t>Баево, СШ</t>
  </si>
  <si>
    <t>Ливенус АВ</t>
  </si>
  <si>
    <t>АРТЮХ Никита Вадимович</t>
  </si>
  <si>
    <t>12.09.10, 1юн</t>
  </si>
  <si>
    <t xml:space="preserve">Шипуново , МКУДО Шипуновская СШ </t>
  </si>
  <si>
    <t>Куликов В.М. Курочка Д.В.</t>
  </si>
  <si>
    <t>КЕНДЮХ Даниил  Сергеевич</t>
  </si>
  <si>
    <t>06.08.10, 1юн</t>
  </si>
  <si>
    <t>г.Заринск, МАУ спорт</t>
  </si>
  <si>
    <t>Блинов А.В</t>
  </si>
  <si>
    <t>НЕМЦЕВ Денис Андреевич</t>
  </si>
  <si>
    <t>12.11.11, 2юн</t>
  </si>
  <si>
    <t>Барнаул, АКОО"КСЕ"ФАВОРИТ"</t>
  </si>
  <si>
    <t>Струфа М.Л.</t>
  </si>
  <si>
    <t xml:space="preserve">ФИЛИПП  Никита  Сергеевич </t>
  </si>
  <si>
    <t>10.02.09, 1юн</t>
  </si>
  <si>
    <t xml:space="preserve">Славгород , МБУ ДО СШ ЦВПВ ДЕСАНТНИК </t>
  </si>
  <si>
    <t xml:space="preserve">Дмитриев Валерий Дмитриевич </t>
  </si>
  <si>
    <t xml:space="preserve">БОБКОВ Роман Константинович </t>
  </si>
  <si>
    <t>13.12.11, 1юн</t>
  </si>
  <si>
    <t>Курочка Д.В. Куликов В.М.</t>
  </si>
  <si>
    <t>ГОЛОВИЗИН Матвей Викторович</t>
  </si>
  <si>
    <t>08.08.10, 1юн</t>
  </si>
  <si>
    <t>Заринск, МАУ СПОРТ</t>
  </si>
  <si>
    <t xml:space="preserve">МЕЖЕНИН Вячеслав  Михайлович </t>
  </si>
  <si>
    <t>02.11.11, 3сп</t>
  </si>
  <si>
    <t>Бийск , СШОР №3 им.А.Гуляева</t>
  </si>
  <si>
    <t>Гаврилов В.В., Асадова А.В.</t>
  </si>
  <si>
    <t>НЕСТЕРЕНКО  Матвей  Максимович</t>
  </si>
  <si>
    <t>10.01.11, 1юн</t>
  </si>
  <si>
    <t xml:space="preserve">Заринск, МАУ СОШ </t>
  </si>
  <si>
    <t xml:space="preserve">Блинов Александр Викторович </t>
  </si>
  <si>
    <t xml:space="preserve">БЕГИНИН Владимир  Васильевич </t>
  </si>
  <si>
    <t>21.07.10, 3юн</t>
  </si>
  <si>
    <t>Барнаул , Алтайский центр самбо</t>
  </si>
  <si>
    <t xml:space="preserve">Жданов Владимир Васильевич </t>
  </si>
  <si>
    <t>КАШИН Станислав Анатольевич</t>
  </si>
  <si>
    <t>31.10.09, 2юн</t>
  </si>
  <si>
    <t>Красногорское, МБУ ДО СШ Виктория</t>
  </si>
  <si>
    <t xml:space="preserve">Тебереков Г. И. Политов К. В. </t>
  </si>
  <si>
    <t>ВОЗОВИКОВ  Дмитрий  Юрьевич</t>
  </si>
  <si>
    <t>20.08.09, 1юн</t>
  </si>
  <si>
    <t>Теренин П.В., Кайгородов О.С.</t>
  </si>
  <si>
    <t>СМОЛЯКОВ Роман Юрьевич</t>
  </si>
  <si>
    <t>16.10.09, 2сп</t>
  </si>
  <si>
    <t xml:space="preserve">Шипуново , Шипуновская ДЮСШ </t>
  </si>
  <si>
    <t>КАМАЕВ Илья Алексеевич</t>
  </si>
  <si>
    <t>11.04.11, 2юн</t>
  </si>
  <si>
    <t>Зональный район, Зональная ДЮСШ</t>
  </si>
  <si>
    <t>Шуликов Е.С.,Шуликов А.С.</t>
  </si>
  <si>
    <t>ФЕДОСОВ Илья Владимирович</t>
  </si>
  <si>
    <t>12.01.11, 1юн</t>
  </si>
  <si>
    <t>Блинов А.В.</t>
  </si>
  <si>
    <t xml:space="preserve">ЗАЙЦЕВ  Глеб  Артемович </t>
  </si>
  <si>
    <t>24.08.11, 3юн</t>
  </si>
  <si>
    <t xml:space="preserve">Табуны, МБУ ДО ТСШ </t>
  </si>
  <si>
    <t>Буханцев А.Д.</t>
  </si>
  <si>
    <t xml:space="preserve">ПЕРОВ  Александр  Евгеньевич </t>
  </si>
  <si>
    <t>13.09.10, 2сп</t>
  </si>
  <si>
    <t>Асадова А.В.., Гаврилов В.В.</t>
  </si>
  <si>
    <t>ПЕРУНОВ Владимир Иванович</t>
  </si>
  <si>
    <t>24.04.09, 2сп</t>
  </si>
  <si>
    <t>Барнаул, АУОР</t>
  </si>
  <si>
    <t>Тюкин С. Г Политов К. В</t>
  </si>
  <si>
    <t>НОВОСЁЛОВ Кирилл Иванович</t>
  </si>
  <si>
    <t>01.07.10, 1сп</t>
  </si>
  <si>
    <t>Бийск, МБУДО СШОР№3 имени А. Гуляева</t>
  </si>
  <si>
    <t>ПАНЬКОВ Егор Артемович</t>
  </si>
  <si>
    <t>30.09.10, 2юн</t>
  </si>
  <si>
    <t>Мамонтово, Мамонтовская СШ</t>
  </si>
  <si>
    <t>Гроо В.В.</t>
  </si>
  <si>
    <t xml:space="preserve">ЛЮК  Герман  Александрович </t>
  </si>
  <si>
    <t>11.06.10, 1юн</t>
  </si>
  <si>
    <t xml:space="preserve">Барнаул , КСШОР </t>
  </si>
  <si>
    <t xml:space="preserve">Хоружев А.И. </t>
  </si>
  <si>
    <t>КОНОНОВ Никита Русланович</t>
  </si>
  <si>
    <t>10.07.10, 2юн</t>
  </si>
  <si>
    <t>Курочка Д.В. Шаталов В.Н.</t>
  </si>
  <si>
    <t>ЛАПТЕВ Сергей Витальевич</t>
  </si>
  <si>
    <t>01.01.09, 1сп</t>
  </si>
  <si>
    <t>Бийск, СШОР №3 им. А. Гуляева</t>
  </si>
  <si>
    <t>Шалюта П.В., Паринова Т.В.</t>
  </si>
  <si>
    <t>КОСИЛОВ Артем Александрович</t>
  </si>
  <si>
    <t>14.03.09, 1юн</t>
  </si>
  <si>
    <t xml:space="preserve">ГРЕБЕЛЬНЫЙ  Артем  Романович </t>
  </si>
  <si>
    <t>03.11.09, 2юн</t>
  </si>
  <si>
    <t xml:space="preserve">р.п. Благовещенка, Благовещенская ДЮСШ </t>
  </si>
  <si>
    <t>Екименко А.В.   Данильченко Е.В.</t>
  </si>
  <si>
    <t>ГОРДИЕНКО Иван Сергеевич</t>
  </si>
  <si>
    <t>17.03.09, 1юн</t>
  </si>
  <si>
    <t>ТАБАКАЕВ Степан Степанович</t>
  </si>
  <si>
    <t>15.07.09, 1юн</t>
  </si>
  <si>
    <t>Бийск, СШОР 3</t>
  </si>
  <si>
    <t>Трескин С.М., Акулов В.Н.</t>
  </si>
  <si>
    <t>СЕДЕШЕВ Артём  Максимович</t>
  </si>
  <si>
    <t>29.03.09, 2юн</t>
  </si>
  <si>
    <t>ДОБРИКОВ Тимофей Артемович</t>
  </si>
  <si>
    <t>19.02.09, 1сп</t>
  </si>
  <si>
    <t>ЛУКЬЯНОВ  Вадим Владимирович</t>
  </si>
  <si>
    <t>03.06.10, 2сп</t>
  </si>
  <si>
    <t>БАСУРМАНОВ  Кирилл  Алексеевич</t>
  </si>
  <si>
    <t>25.04.09, 3сп</t>
  </si>
  <si>
    <t>ЛАРИН Ярослав Андреевич</t>
  </si>
  <si>
    <t>14.07.09, 2юн</t>
  </si>
  <si>
    <t>Шипуново, Шипуновсая дюсш</t>
  </si>
  <si>
    <t>В. М. Куликов. Д.В. Курочка</t>
  </si>
  <si>
    <t>ПУГАЧЕВ Максим Вячеславович</t>
  </si>
  <si>
    <t>27.07.09, 2сп</t>
  </si>
  <si>
    <t>КУЛДЫРКАЕВ Никита Денисович</t>
  </si>
  <si>
    <t>14.06.10, 3сп</t>
  </si>
  <si>
    <t>Заринск, Мау спорт "Факел"</t>
  </si>
  <si>
    <t>МИЦИХ Станислав Алексеевич</t>
  </si>
  <si>
    <t>17.03.09, 2сп</t>
  </si>
  <si>
    <t>Зональный Район, Зональная ДЮСШ</t>
  </si>
  <si>
    <t>Зональный Район</t>
  </si>
  <si>
    <t>Шуликов Е.С., Шалюта П.В.</t>
  </si>
  <si>
    <t xml:space="preserve">КАЗАНИН Никита Евгеньевич </t>
  </si>
  <si>
    <t>27.02.09, 2сп</t>
  </si>
  <si>
    <t>ЗЯБЛИЦКИЙ  Кирилл Дмитриевич</t>
  </si>
  <si>
    <t>28.06.09, 3юн</t>
  </si>
  <si>
    <t>Тюкин Сергей Георгиевич</t>
  </si>
  <si>
    <t>БОБУХ Дамир Евгеньевич</t>
  </si>
  <si>
    <t>30.05.10, 1юн</t>
  </si>
  <si>
    <t>Алтайское , МАУ ДО"АЛТАЙСКАЯ СШОР"</t>
  </si>
  <si>
    <t xml:space="preserve">Кандауров А. Н. </t>
  </si>
  <si>
    <t>ЛУКАШ Семён Дмитриевич</t>
  </si>
  <si>
    <t>31.03.09, 1юн</t>
  </si>
  <si>
    <t>Барнаул, Ирбис</t>
  </si>
  <si>
    <t>Торопынин А.Е</t>
  </si>
  <si>
    <t xml:space="preserve">СОЛОДКОВ Платон Александрович </t>
  </si>
  <si>
    <t>29.09.10, 3сп</t>
  </si>
  <si>
    <t>ЛУНИН  Матвей  Андреевич</t>
  </si>
  <si>
    <t>20.01.09, 1юн</t>
  </si>
  <si>
    <t xml:space="preserve">Барнаул , Сш Ирбис </t>
  </si>
  <si>
    <t>Чекарев А.В</t>
  </si>
  <si>
    <t xml:space="preserve">ПОЛЫГАЛОВ  Артур  Александрович </t>
  </si>
  <si>
    <t>04.03.09, 1юн</t>
  </si>
  <si>
    <t xml:space="preserve">Барнаул, С/к Ирбис </t>
  </si>
  <si>
    <t>Торопынин А Е</t>
  </si>
  <si>
    <t>СУМИН Артур Викторович</t>
  </si>
  <si>
    <t>18.01.10, 1юн</t>
  </si>
  <si>
    <t>Р. П. Благовещенка, Благовещенская СШ</t>
  </si>
  <si>
    <t xml:space="preserve">Данильченко Е. Л. Екименко А. В. </t>
  </si>
  <si>
    <t>АТЯСОВ Артём Олегович</t>
  </si>
  <si>
    <t>22.04.10, 1юн</t>
  </si>
  <si>
    <t>Барнаул, СШ Ирбис</t>
  </si>
  <si>
    <t>Чекарёв А.В.</t>
  </si>
  <si>
    <t xml:space="preserve">ДОЦЕНКО  Даниил  Михайлович </t>
  </si>
  <si>
    <t>20.04.09, 1юн</t>
  </si>
  <si>
    <t xml:space="preserve">АРАПОВ Илья Владимирович </t>
  </si>
  <si>
    <t>21.07.09, 2юн</t>
  </si>
  <si>
    <t xml:space="preserve">КОЛЯСОВ Владислав Евгеньевич </t>
  </si>
  <si>
    <t>20.09.09, 2юн</t>
  </si>
  <si>
    <t xml:space="preserve">АПАРИН  Егор  Федорович </t>
  </si>
  <si>
    <t>23.03.10, 2юн</t>
  </si>
  <si>
    <t>РП Благовещенка, Благовещенская СШ</t>
  </si>
  <si>
    <t xml:space="preserve">Данильченко Е.Л. Екименко А.В. </t>
  </si>
  <si>
    <t>ЧЕБАЧЁВ Александр  Игоревич</t>
  </si>
  <si>
    <t>14.04.10, 3юн</t>
  </si>
  <si>
    <t>ДЕМЕНЁВ Альберт  Донатович</t>
  </si>
  <si>
    <t>01.11.10, 3юн</t>
  </si>
  <si>
    <t xml:space="preserve">ХАКИМОВ  Самандар  Хусанбоевич </t>
  </si>
  <si>
    <t>16.11.09, 1юн</t>
  </si>
  <si>
    <t>88+ кг</t>
  </si>
  <si>
    <t>БУТЕЕВ Артём  Сергеевич</t>
  </si>
  <si>
    <t>19.03.09, 1сп</t>
  </si>
  <si>
    <t>ПУПЫШЕВ Арсений  Евгеньевич</t>
  </si>
  <si>
    <t>03.01.10, 1юн</t>
  </si>
  <si>
    <t xml:space="preserve">Алтайское , МАУ ДО"АЛТАЙСКАЯ СШОР" </t>
  </si>
  <si>
    <t xml:space="preserve">КОСТЮКОВИЧ Богдан  Владимирович </t>
  </si>
  <si>
    <t>06.06.09, 3сп</t>
  </si>
  <si>
    <t>КОМЛЕВ Михаил Александрович</t>
  </si>
  <si>
    <t>21.04.10, 1юн</t>
  </si>
  <si>
    <t>СОЛОМАТИН Михаил Денисович</t>
  </si>
  <si>
    <t>09.06.10, 3юн</t>
  </si>
  <si>
    <t>Смоленский район, МБУДО "СМОЛЕНСКАЯ СШ"</t>
  </si>
  <si>
    <t>Зиновьев.С.М</t>
  </si>
  <si>
    <t xml:space="preserve">ЛЕТЯЕВ Илья Владимирович </t>
  </si>
  <si>
    <t>02.08.09, 3сп</t>
  </si>
  <si>
    <t>Димитриенко И.В.</t>
  </si>
  <si>
    <t>Кайгородов О.С.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</si>
</sst>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4"/>
      <color rgb="FFFF0000"/>
      <name val="Arial"/>
    </font>
    <font>
      <u/>
      <sz val="10"/>
      <color rgb="FF1155CC"/>
      <name val="Arial"/>
    </font>
    <font>
      <b/>
      <sz val="10"/>
      <color theme="1"/>
      <name val="Arial"/>
      <scheme val="minor"/>
    </font>
    <font>
      <b/>
      <sz val="14"/>
      <color theme="1"/>
      <name val="Arial"/>
    </font>
    <font>
      <sz val="10"/>
      <name val="Arial"/>
    </font>
    <font>
      <sz val="11"/>
      <color rgb="FF000000"/>
      <name val="Inconsolata"/>
    </font>
    <font>
      <b/>
      <sz val="10"/>
      <color theme="1"/>
      <name val="Arial Narrow"/>
    </font>
    <font>
      <b/>
      <sz val="16"/>
      <color theme="1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Roboto"/>
    </font>
    <font>
      <u/>
      <sz val="10"/>
      <color rgb="FF0000FF"/>
      <name val="Arial"/>
    </font>
    <font>
      <u/>
      <sz val="10"/>
      <color rgb="FF1155CC"/>
      <name val="Arial"/>
      <scheme val="minor"/>
    </font>
    <font>
      <u/>
      <sz val="11"/>
      <color rgb="FF008000"/>
      <name val="Inconsolata"/>
    </font>
    <font>
      <u/>
      <sz val="10"/>
      <color rgb="FF0000FF"/>
      <name val="Arial"/>
    </font>
    <font>
      <sz val="10"/>
      <color rgb="FFFFFFFF"/>
      <name val="Arial"/>
      <scheme val="minor"/>
    </font>
    <font>
      <b/>
      <i/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b/>
      <sz val="14"/>
      <color rgb="FF000000"/>
      <name val="Arial"/>
    </font>
    <font>
      <sz val="10"/>
      <color rgb="FF000000"/>
      <name val="Arial"/>
    </font>
    <font>
      <sz val="12"/>
      <color theme="1"/>
      <name val="Arial"/>
    </font>
    <font>
      <b/>
      <i/>
      <sz val="10"/>
      <color theme="1"/>
      <name val="Arial"/>
    </font>
    <font>
      <b/>
      <sz val="10"/>
      <color rgb="FF000000"/>
      <name val="Arial"/>
    </font>
    <font>
      <i/>
      <sz val="10"/>
      <color theme="1"/>
      <name val="Arial"/>
      <scheme val="minor"/>
    </font>
    <font>
      <b/>
      <sz val="12"/>
      <color rgb="FF000000"/>
      <name val="Arial"/>
    </font>
    <font>
      <b/>
      <i/>
      <sz val="14"/>
      <color rgb="FF000000"/>
      <name val="Arial"/>
    </font>
    <font>
      <sz val="14"/>
      <color rgb="FF000000"/>
      <name val="Arial"/>
    </font>
    <font>
      <b/>
      <sz val="10"/>
      <color rgb="FFFFFFFF"/>
      <name val="Arial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00FFFF"/>
        <bgColor rgb="FF00FFFF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BEFF1"/>
        <bgColor rgb="FFEBEFF1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/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/>
      <top style="thin">
        <color rgb="FFA3B2CC"/>
      </top>
      <bottom style="thin">
        <color rgb="FFA3B2CC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8" fillId="0" borderId="6" xfId="0" applyFont="1" applyBorder="1" applyAlignment="1"/>
    <xf numFmtId="0" fontId="4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/>
    <xf numFmtId="0" fontId="10" fillId="6" borderId="8" xfId="0" applyFont="1" applyFill="1" applyBorder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3" borderId="0" xfId="0" applyFont="1" applyFill="1" applyAlignment="1"/>
    <xf numFmtId="0" fontId="10" fillId="6" borderId="12" xfId="0" applyFont="1" applyFill="1" applyBorder="1" applyAlignment="1">
      <alignment horizontal="center"/>
    </xf>
    <xf numFmtId="0" fontId="1" fillId="0" borderId="13" xfId="0" applyFont="1" applyBorder="1" applyAlignment="1"/>
    <xf numFmtId="0" fontId="7" fillId="3" borderId="0" xfId="0" applyFont="1" applyFill="1" applyAlignment="1"/>
    <xf numFmtId="0" fontId="1" fillId="0" borderId="14" xfId="0" applyFont="1" applyBorder="1" applyAlignment="1"/>
    <xf numFmtId="0" fontId="13" fillId="0" borderId="0" xfId="0" applyFont="1" applyAlignment="1"/>
    <xf numFmtId="0" fontId="14" fillId="0" borderId="0" xfId="0" applyFont="1" applyAlignment="1"/>
    <xf numFmtId="0" fontId="10" fillId="6" borderId="16" xfId="0" applyFont="1" applyFill="1" applyBorder="1" applyAlignment="1">
      <alignment horizontal="center"/>
    </xf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5" fillId="3" borderId="0" xfId="0" applyFont="1" applyFill="1" applyAlignment="1"/>
    <xf numFmtId="0" fontId="1" fillId="0" borderId="0" xfId="0" applyFont="1" applyAlignment="1">
      <alignment horizontal="right"/>
    </xf>
    <xf numFmtId="0" fontId="16" fillId="0" borderId="0" xfId="0" applyFont="1" applyAlignment="1"/>
    <xf numFmtId="0" fontId="1" fillId="0" borderId="17" xfId="0" applyFont="1" applyBorder="1" applyAlignment="1"/>
    <xf numFmtId="0" fontId="1" fillId="0" borderId="14" xfId="0" applyFont="1" applyBorder="1" applyAlignment="1">
      <alignment wrapText="1"/>
    </xf>
    <xf numFmtId="0" fontId="1" fillId="0" borderId="13" xfId="0" applyFont="1" applyBorder="1" applyAlignment="1"/>
    <xf numFmtId="0" fontId="1" fillId="0" borderId="13" xfId="0" applyFont="1" applyBorder="1"/>
    <xf numFmtId="0" fontId="1" fillId="0" borderId="18" xfId="0" applyFont="1" applyBorder="1" applyAlignment="1">
      <alignment wrapText="1"/>
    </xf>
    <xf numFmtId="0" fontId="1" fillId="0" borderId="9" xfId="0" applyFont="1" applyBorder="1"/>
    <xf numFmtId="0" fontId="17" fillId="0" borderId="17" xfId="0" applyFont="1" applyBorder="1" applyAlignment="1"/>
    <xf numFmtId="0" fontId="17" fillId="0" borderId="17" xfId="0" applyFont="1" applyBorder="1" applyAlignment="1"/>
    <xf numFmtId="0" fontId="17" fillId="0" borderId="18" xfId="0" applyFont="1" applyBorder="1" applyAlignment="1"/>
    <xf numFmtId="0" fontId="9" fillId="7" borderId="0" xfId="0" applyFont="1" applyFill="1" applyAlignment="1">
      <alignment horizontal="center" vertical="center" textRotation="90"/>
    </xf>
    <xf numFmtId="0" fontId="10" fillId="7" borderId="0" xfId="0" applyFont="1" applyFill="1" applyAlignment="1">
      <alignment horizontal="center"/>
    </xf>
    <xf numFmtId="0" fontId="1" fillId="0" borderId="0" xfId="0" applyFont="1" applyAlignment="1"/>
    <xf numFmtId="0" fontId="1" fillId="0" borderId="0" xfId="0" applyFont="1" applyAlignment="1"/>
    <xf numFmtId="0" fontId="1" fillId="0" borderId="10" xfId="0" applyFont="1" applyBorder="1" applyAlignment="1">
      <alignment wrapText="1"/>
    </xf>
    <xf numFmtId="0" fontId="18" fillId="0" borderId="0" xfId="0" applyFont="1" applyAlignment="1"/>
    <xf numFmtId="0" fontId="4" fillId="0" borderId="0" xfId="0" applyFont="1" applyAlignment="1"/>
    <xf numFmtId="0" fontId="18" fillId="0" borderId="0" xfId="0" applyFont="1"/>
    <xf numFmtId="0" fontId="1" fillId="0" borderId="0" xfId="0" applyFont="1" applyAlignment="1"/>
    <xf numFmtId="0" fontId="11" fillId="8" borderId="0" xfId="0" applyFont="1" applyFill="1" applyAlignment="1"/>
    <xf numFmtId="0" fontId="11" fillId="8" borderId="0" xfId="0" applyFont="1" applyFill="1" applyAlignment="1">
      <alignment horizontal="right"/>
    </xf>
    <xf numFmtId="0" fontId="7" fillId="3" borderId="0" xfId="0" applyFont="1" applyFill="1"/>
    <xf numFmtId="0" fontId="19" fillId="0" borderId="0" xfId="0" applyFont="1" applyAlignment="1"/>
    <xf numFmtId="0" fontId="20" fillId="2" borderId="0" xfId="0" applyFont="1" applyFill="1" applyAlignment="1"/>
    <xf numFmtId="0" fontId="2" fillId="0" borderId="0" xfId="0" applyFont="1" applyAlignment="1">
      <alignment horizontal="center" vertical="center"/>
    </xf>
    <xf numFmtId="0" fontId="25" fillId="11" borderId="6" xfId="0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26" fillId="0" borderId="0" xfId="0" applyFont="1" applyAlignment="1"/>
    <xf numFmtId="0" fontId="27" fillId="4" borderId="0" xfId="0" applyFont="1" applyFill="1" applyAlignment="1">
      <alignment horizontal="center" wrapText="1"/>
    </xf>
    <xf numFmtId="0" fontId="22" fillId="9" borderId="0" xfId="0" applyFont="1" applyFill="1" applyAlignment="1">
      <alignment horizontal="center"/>
    </xf>
    <xf numFmtId="0" fontId="29" fillId="3" borderId="1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9" fillId="13" borderId="13" xfId="0" applyFont="1" applyFill="1" applyBorder="1" applyAlignment="1">
      <alignment horizontal="center" vertical="center" wrapText="1"/>
    </xf>
    <xf numFmtId="0" fontId="25" fillId="13" borderId="0" xfId="0" applyFont="1" applyFill="1" applyAlignment="1">
      <alignment horizontal="center" vertical="center" wrapText="1"/>
    </xf>
    <xf numFmtId="0" fontId="29" fillId="13" borderId="13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5" fillId="13" borderId="0" xfId="0" applyFont="1" applyFill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25" fillId="7" borderId="0" xfId="0" applyFont="1" applyFill="1" applyAlignment="1">
      <alignment horizontal="left" vertical="center" wrapText="1"/>
    </xf>
    <xf numFmtId="0" fontId="30" fillId="0" borderId="26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29" xfId="0" applyFont="1" applyBorder="1" applyAlignment="1"/>
    <xf numFmtId="0" fontId="9" fillId="5" borderId="7" xfId="0" applyFont="1" applyFill="1" applyBorder="1" applyAlignment="1">
      <alignment horizontal="center" vertical="center" textRotation="90"/>
    </xf>
    <xf numFmtId="0" fontId="6" fillId="0" borderId="11" xfId="0" applyFont="1" applyBorder="1"/>
    <xf numFmtId="0" fontId="6" fillId="0" borderId="15" xfId="0" applyFont="1" applyBorder="1"/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7" fillId="3" borderId="4" xfId="0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wrapText="1"/>
    </xf>
    <xf numFmtId="0" fontId="22" fillId="9" borderId="19" xfId="0" applyFont="1" applyFill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23" fillId="0" borderId="0" xfId="0" applyFont="1" applyAlignment="1">
      <alignment horizontal="center"/>
    </xf>
    <xf numFmtId="0" fontId="24" fillId="10" borderId="7" xfId="0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/>
    <xf numFmtId="0" fontId="2" fillId="0" borderId="24" xfId="0" applyFont="1" applyBorder="1" applyAlignment="1">
      <alignment horizontal="center" vertical="center"/>
    </xf>
    <xf numFmtId="0" fontId="6" fillId="0" borderId="25" xfId="0" applyFont="1" applyBorder="1"/>
    <xf numFmtId="0" fontId="27" fillId="4" borderId="24" xfId="0" applyFont="1" applyFill="1" applyBorder="1" applyAlignment="1">
      <alignment horizontal="center" wrapText="1"/>
    </xf>
    <xf numFmtId="0" fontId="22" fillId="7" borderId="24" xfId="0" applyFont="1" applyFill="1" applyBorder="1" applyAlignment="1">
      <alignment horizontal="center"/>
    </xf>
    <xf numFmtId="0" fontId="28" fillId="9" borderId="24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</dxfs>
  <tableStyles count="7">
    <tableStyle name="Инфо4-Бийск, СШОР №3-5-style" pivot="0" count="3">
      <tableStyleElement type="headerRow" dxfId="21"/>
      <tableStyleElement type="firstRowStripe" dxfId="20"/>
      <tableStyleElement type="secondRowStripe" dxfId="19"/>
    </tableStyle>
    <tableStyle name="Инфо3-Бийск, СШОР №3-1-style" pivot="0" count="3">
      <tableStyleElement type="headerRow" dxfId="18"/>
      <tableStyleElement type="firstRowStripe" dxfId="17"/>
      <tableStyleElement type="secondRowStripe" dxfId="16"/>
    </tableStyle>
    <tableStyle name="Инфо2-Бийск, СШОР №3-5-style" pivot="0" count="3">
      <tableStyleElement type="headerRow" dxfId="15"/>
      <tableStyleElement type="firstRowStripe" dxfId="14"/>
      <tableStyleElement type="secondRowStripe" dxfId="13"/>
    </tableStyle>
    <tableStyle name="Ком.перв ИТОГ-style" pivot="0" count="3">
      <tableStyleElement type="headerRow" dxfId="12"/>
      <tableStyleElement type="firstRowStripe" dxfId="11"/>
      <tableStyleElement type="secondRowStripe" dxfId="10"/>
    </tableStyle>
    <tableStyle name="Ком.перв ИТОГ-style 2" pivot="0" count="2">
      <tableStyleElement type="firstRowStripe" dxfId="9"/>
      <tableStyleElement type="secondRowStripe" dxfId="8"/>
    </tableStyle>
    <tableStyle name="Ком.перв ИТОГ (копия)-style" pivot="0" count="3">
      <tableStyleElement type="headerRow" dxfId="7"/>
      <tableStyleElement type="firstRowStripe" dxfId="6"/>
      <tableStyleElement type="secondRowStripe" dxfId="5"/>
    </tableStyle>
    <tableStyle name="Ком.перв ИТОГ (копия)-style 2" pivot="0" count="2"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H10" headerRowCount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Инфо4-Бийск, СШОР №3-5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A1:H3" headerRowCount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Инфо3-Бийск, СШОР №3-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id="3" name="Table_3" displayName="Table_3" ref="A1:H10" headerRowCount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Инфо2-Бийск, СШОР №3-5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81"/>
  <sheetViews>
    <sheetView tabSelected="1" topLeftCell="A65" workbookViewId="0">
      <selection activeCell="F84" sqref="F84"/>
    </sheetView>
  </sheetViews>
  <sheetFormatPr defaultColWidth="12.5703125" defaultRowHeight="15.75" customHeight="1"/>
  <cols>
    <col min="1" max="1" width="3.42578125" customWidth="1"/>
    <col min="2" max="2" width="5.85546875" customWidth="1"/>
    <col min="3" max="3" width="32.5703125" customWidth="1"/>
    <col min="5" max="5" width="5.7109375" hidden="1" customWidth="1"/>
    <col min="6" max="6" width="36.28515625" customWidth="1"/>
    <col min="7" max="7" width="12.5703125" hidden="1"/>
    <col min="8" max="8" width="27.85546875" customWidth="1"/>
    <col min="9" max="9" width="2.42578125" customWidth="1"/>
    <col min="10" max="10" width="4" customWidth="1"/>
    <col min="11" max="11" width="4.7109375" customWidth="1"/>
  </cols>
  <sheetData>
    <row r="1" spans="1:11" ht="18">
      <c r="A1" s="85" t="s">
        <v>0</v>
      </c>
      <c r="B1" s="86"/>
      <c r="C1" s="86"/>
      <c r="D1" s="86"/>
      <c r="E1" s="86"/>
      <c r="F1" s="86"/>
      <c r="G1" s="86"/>
      <c r="H1" s="86"/>
      <c r="I1" s="2"/>
      <c r="K1" s="3"/>
    </row>
    <row r="2" spans="1:11" ht="12.75">
      <c r="A2" s="87" t="s">
        <v>1</v>
      </c>
      <c r="B2" s="86"/>
      <c r="C2" s="86"/>
      <c r="D2" s="86"/>
      <c r="E2" s="86"/>
      <c r="F2" s="86"/>
      <c r="G2" s="86"/>
      <c r="H2" s="86"/>
    </row>
    <row r="3" spans="1:11" ht="44.25" customHeight="1">
      <c r="A3" s="88" t="s">
        <v>620</v>
      </c>
      <c r="B3" s="89"/>
      <c r="C3" s="89"/>
      <c r="D3" s="89"/>
      <c r="E3" s="89"/>
      <c r="F3" s="89"/>
      <c r="G3" s="89"/>
      <c r="H3" s="90"/>
    </row>
    <row r="4" spans="1:11" ht="14.25">
      <c r="A4" s="91" t="s">
        <v>621</v>
      </c>
      <c r="B4" s="92"/>
      <c r="C4" s="92"/>
      <c r="D4" s="92"/>
      <c r="E4" s="92"/>
      <c r="F4" s="92"/>
      <c r="G4" s="92"/>
      <c r="H4" s="93"/>
    </row>
    <row r="6" spans="1:11" ht="24" customHeight="1">
      <c r="A6" s="1" t="s">
        <v>2</v>
      </c>
      <c r="B6" s="4" t="s">
        <v>3</v>
      </c>
      <c r="C6" s="5" t="s">
        <v>4</v>
      </c>
      <c r="D6" s="6" t="s">
        <v>5</v>
      </c>
      <c r="E6" s="6" t="s">
        <v>6</v>
      </c>
      <c r="F6" s="6" t="s">
        <v>7</v>
      </c>
      <c r="G6" s="7" t="s">
        <v>2</v>
      </c>
      <c r="H6" s="6" t="s">
        <v>8</v>
      </c>
    </row>
    <row r="7" spans="1:11">
      <c r="A7" s="82" t="s">
        <v>622</v>
      </c>
      <c r="B7" s="8">
        <v>1</v>
      </c>
      <c r="C7" s="9" t="s">
        <v>623</v>
      </c>
      <c r="D7" s="9" t="s">
        <v>624</v>
      </c>
      <c r="E7" s="9" t="s">
        <v>44</v>
      </c>
      <c r="F7" s="9" t="s">
        <v>625</v>
      </c>
      <c r="G7" s="9" t="s">
        <v>26</v>
      </c>
      <c r="H7" s="10" t="s">
        <v>626</v>
      </c>
      <c r="I7" s="2"/>
      <c r="J7" s="2"/>
      <c r="K7" s="11"/>
    </row>
    <row r="8" spans="1:11" ht="26.25">
      <c r="A8" s="83"/>
      <c r="B8" s="12">
        <v>2</v>
      </c>
      <c r="C8" s="13" t="s">
        <v>585</v>
      </c>
      <c r="D8" s="13" t="s">
        <v>627</v>
      </c>
      <c r="E8" s="13" t="s">
        <v>44</v>
      </c>
      <c r="F8" s="13" t="s">
        <v>628</v>
      </c>
      <c r="G8" s="14" t="s">
        <v>24</v>
      </c>
      <c r="H8" s="28" t="s">
        <v>588</v>
      </c>
      <c r="I8" s="2"/>
      <c r="J8" s="2"/>
      <c r="K8" s="16"/>
    </row>
    <row r="9" spans="1:11">
      <c r="A9" s="83"/>
      <c r="B9" s="12">
        <v>3</v>
      </c>
      <c r="C9" s="13" t="s">
        <v>629</v>
      </c>
      <c r="D9" s="13" t="s">
        <v>630</v>
      </c>
      <c r="E9" s="13" t="s">
        <v>44</v>
      </c>
      <c r="F9" s="13" t="s">
        <v>631</v>
      </c>
      <c r="G9" s="13" t="s">
        <v>21</v>
      </c>
      <c r="H9" s="15" t="s">
        <v>632</v>
      </c>
      <c r="I9" s="2"/>
      <c r="J9" s="2"/>
      <c r="K9" s="16"/>
    </row>
    <row r="10" spans="1:11">
      <c r="A10" s="83"/>
      <c r="B10" s="12">
        <v>3</v>
      </c>
      <c r="C10" s="13" t="s">
        <v>633</v>
      </c>
      <c r="D10" s="13" t="s">
        <v>634</v>
      </c>
      <c r="E10" s="13" t="s">
        <v>44</v>
      </c>
      <c r="F10" s="13" t="s">
        <v>635</v>
      </c>
      <c r="G10" s="13" t="s">
        <v>38</v>
      </c>
      <c r="H10" s="15" t="s">
        <v>636</v>
      </c>
      <c r="I10" s="17"/>
      <c r="J10" s="2"/>
      <c r="K10" s="16"/>
    </row>
    <row r="11" spans="1:11">
      <c r="A11" s="83"/>
      <c r="B11" s="12">
        <v>5</v>
      </c>
      <c r="C11" s="13" t="s">
        <v>637</v>
      </c>
      <c r="D11" s="13" t="s">
        <v>638</v>
      </c>
      <c r="E11" s="13" t="s">
        <v>44</v>
      </c>
      <c r="F11" s="13" t="s">
        <v>639</v>
      </c>
      <c r="G11" s="13" t="s">
        <v>27</v>
      </c>
      <c r="H11" s="15" t="s">
        <v>640</v>
      </c>
      <c r="I11" s="2"/>
      <c r="J11" s="2"/>
      <c r="K11" s="16"/>
    </row>
    <row r="12" spans="1:11">
      <c r="A12" s="84"/>
      <c r="B12" s="18">
        <v>5</v>
      </c>
      <c r="C12" s="19" t="s">
        <v>641</v>
      </c>
      <c r="D12" s="19" t="s">
        <v>642</v>
      </c>
      <c r="E12" s="19" t="s">
        <v>44</v>
      </c>
      <c r="F12" s="19" t="s">
        <v>643</v>
      </c>
      <c r="G12" s="19" t="s">
        <v>22</v>
      </c>
      <c r="H12" s="20" t="s">
        <v>644</v>
      </c>
      <c r="I12" s="2"/>
      <c r="J12" s="2"/>
      <c r="K12" s="16"/>
    </row>
    <row r="13" spans="1:11" ht="12.75">
      <c r="I13" s="2"/>
      <c r="J13" s="2"/>
      <c r="K13" s="16"/>
    </row>
    <row r="14" spans="1:11">
      <c r="A14" s="82" t="s">
        <v>10</v>
      </c>
      <c r="B14" s="8">
        <v>1</v>
      </c>
      <c r="C14" s="9" t="s">
        <v>645</v>
      </c>
      <c r="D14" s="21" t="s">
        <v>646</v>
      </c>
      <c r="E14" s="21" t="s">
        <v>44</v>
      </c>
      <c r="F14" s="21" t="s">
        <v>647</v>
      </c>
      <c r="G14" s="22" t="s">
        <v>35</v>
      </c>
      <c r="H14" s="23" t="s">
        <v>648</v>
      </c>
      <c r="I14" s="2"/>
      <c r="J14" s="2"/>
      <c r="K14" s="24"/>
    </row>
    <row r="15" spans="1:11">
      <c r="A15" s="83"/>
      <c r="B15" s="12">
        <v>2</v>
      </c>
      <c r="C15" s="13" t="s">
        <v>649</v>
      </c>
      <c r="D15" s="13" t="s">
        <v>650</v>
      </c>
      <c r="E15" s="13" t="s">
        <v>44</v>
      </c>
      <c r="F15" s="13" t="s">
        <v>635</v>
      </c>
      <c r="G15" s="13" t="s">
        <v>38</v>
      </c>
      <c r="H15" s="15" t="s">
        <v>651</v>
      </c>
      <c r="I15" s="25"/>
      <c r="J15" s="2"/>
      <c r="K15" s="16"/>
    </row>
    <row r="16" spans="1:11">
      <c r="A16" s="83"/>
      <c r="B16" s="12">
        <v>3</v>
      </c>
      <c r="C16" s="13" t="s">
        <v>652</v>
      </c>
      <c r="D16" s="13" t="s">
        <v>653</v>
      </c>
      <c r="E16" s="13" t="s">
        <v>44</v>
      </c>
      <c r="F16" s="13" t="s">
        <v>654</v>
      </c>
      <c r="G16" s="13" t="s">
        <v>28</v>
      </c>
      <c r="H16" s="15" t="s">
        <v>640</v>
      </c>
      <c r="J16" s="2"/>
      <c r="K16" s="26"/>
    </row>
    <row r="17" spans="1:8">
      <c r="A17" s="83"/>
      <c r="B17" s="12">
        <v>3</v>
      </c>
      <c r="C17" s="13" t="s">
        <v>655</v>
      </c>
      <c r="D17" s="13" t="s">
        <v>656</v>
      </c>
      <c r="E17" s="13" t="s">
        <v>44</v>
      </c>
      <c r="F17" s="13" t="s">
        <v>657</v>
      </c>
      <c r="G17" s="14" t="s">
        <v>25</v>
      </c>
      <c r="H17" s="15" t="s">
        <v>658</v>
      </c>
    </row>
    <row r="18" spans="1:8">
      <c r="A18" s="83"/>
      <c r="B18" s="12">
        <v>5</v>
      </c>
      <c r="C18" s="1" t="s">
        <v>659</v>
      </c>
      <c r="D18" s="13" t="s">
        <v>660</v>
      </c>
      <c r="E18" s="13" t="s">
        <v>44</v>
      </c>
      <c r="F18" s="13" t="s">
        <v>661</v>
      </c>
      <c r="G18" s="13" t="s">
        <v>28</v>
      </c>
      <c r="H18" s="15" t="s">
        <v>662</v>
      </c>
    </row>
    <row r="19" spans="1:8">
      <c r="A19" s="84"/>
      <c r="B19" s="18">
        <v>5</v>
      </c>
      <c r="C19" s="19" t="s">
        <v>663</v>
      </c>
      <c r="D19" s="19" t="s">
        <v>664</v>
      </c>
      <c r="E19" s="19" t="s">
        <v>44</v>
      </c>
      <c r="F19" s="19" t="s">
        <v>665</v>
      </c>
      <c r="G19" s="19" t="s">
        <v>23</v>
      </c>
      <c r="H19" s="20" t="s">
        <v>666</v>
      </c>
    </row>
    <row r="21" spans="1:8">
      <c r="A21" s="82" t="s">
        <v>11</v>
      </c>
      <c r="B21" s="8">
        <v>1</v>
      </c>
      <c r="C21" s="9" t="s">
        <v>667</v>
      </c>
      <c r="D21" s="21" t="s">
        <v>668</v>
      </c>
      <c r="E21" s="21" t="s">
        <v>44</v>
      </c>
      <c r="F21" s="21" t="s">
        <v>669</v>
      </c>
      <c r="G21" s="22" t="s">
        <v>30</v>
      </c>
      <c r="H21" s="23" t="s">
        <v>670</v>
      </c>
    </row>
    <row r="22" spans="1:8">
      <c r="A22" s="83"/>
      <c r="B22" s="12">
        <v>2</v>
      </c>
      <c r="C22" s="13" t="s">
        <v>671</v>
      </c>
      <c r="D22" s="13" t="s">
        <v>672</v>
      </c>
      <c r="E22" s="13" t="s">
        <v>44</v>
      </c>
      <c r="F22" s="13" t="s">
        <v>657</v>
      </c>
      <c r="G22" s="13" t="s">
        <v>25</v>
      </c>
      <c r="H22" s="15" t="s">
        <v>673</v>
      </c>
    </row>
    <row r="23" spans="1:8">
      <c r="A23" s="83"/>
      <c r="B23" s="12">
        <v>3</v>
      </c>
      <c r="C23" s="13" t="s">
        <v>674</v>
      </c>
      <c r="D23" s="13" t="s">
        <v>675</v>
      </c>
      <c r="E23" s="13" t="s">
        <v>44</v>
      </c>
      <c r="F23" s="13" t="s">
        <v>676</v>
      </c>
      <c r="G23" s="13" t="s">
        <v>38</v>
      </c>
      <c r="H23" s="15" t="s">
        <v>636</v>
      </c>
    </row>
    <row r="24" spans="1:8">
      <c r="A24" s="83"/>
      <c r="B24" s="12">
        <v>3</v>
      </c>
      <c r="C24" s="13" t="s">
        <v>677</v>
      </c>
      <c r="D24" s="13" t="s">
        <v>678</v>
      </c>
      <c r="E24" s="13" t="s">
        <v>44</v>
      </c>
      <c r="F24" s="13" t="s">
        <v>679</v>
      </c>
      <c r="G24" s="13" t="s">
        <v>29</v>
      </c>
      <c r="H24" s="15" t="s">
        <v>680</v>
      </c>
    </row>
    <row r="25" spans="1:8">
      <c r="A25" s="83"/>
      <c r="B25" s="12">
        <v>5</v>
      </c>
      <c r="C25" s="13" t="s">
        <v>681</v>
      </c>
      <c r="D25" s="13" t="s">
        <v>682</v>
      </c>
      <c r="E25" s="13" t="s">
        <v>44</v>
      </c>
      <c r="F25" s="13" t="s">
        <v>654</v>
      </c>
      <c r="G25" s="13" t="s">
        <v>28</v>
      </c>
      <c r="H25" s="15" t="s">
        <v>683</v>
      </c>
    </row>
    <row r="26" spans="1:8">
      <c r="A26" s="84"/>
      <c r="B26" s="18">
        <v>5</v>
      </c>
      <c r="C26" s="19" t="s">
        <v>684</v>
      </c>
      <c r="D26" s="19" t="s">
        <v>685</v>
      </c>
      <c r="E26" s="19" t="s">
        <v>44</v>
      </c>
      <c r="F26" s="19" t="s">
        <v>686</v>
      </c>
      <c r="G26" s="27" t="s">
        <v>37</v>
      </c>
      <c r="H26" s="20" t="s">
        <v>687</v>
      </c>
    </row>
    <row r="28" spans="1:8">
      <c r="A28" s="82" t="s">
        <v>12</v>
      </c>
      <c r="B28" s="8">
        <v>1</v>
      </c>
      <c r="C28" s="9" t="s">
        <v>688</v>
      </c>
      <c r="D28" s="21" t="s">
        <v>689</v>
      </c>
      <c r="E28" s="21" t="s">
        <v>44</v>
      </c>
      <c r="F28" s="21" t="s">
        <v>657</v>
      </c>
      <c r="G28" s="22" t="s">
        <v>25</v>
      </c>
      <c r="H28" s="23" t="s">
        <v>690</v>
      </c>
    </row>
    <row r="29" spans="1:8">
      <c r="A29" s="83"/>
      <c r="B29" s="12">
        <v>2</v>
      </c>
      <c r="C29" s="13" t="s">
        <v>691</v>
      </c>
      <c r="D29" s="13" t="s">
        <v>692</v>
      </c>
      <c r="E29" s="13" t="s">
        <v>44</v>
      </c>
      <c r="F29" s="13" t="s">
        <v>693</v>
      </c>
      <c r="G29" s="13" t="s">
        <v>22</v>
      </c>
      <c r="H29" s="15" t="s">
        <v>694</v>
      </c>
    </row>
    <row r="30" spans="1:8">
      <c r="A30" s="83"/>
      <c r="B30" s="12">
        <v>3</v>
      </c>
      <c r="C30" s="13" t="s">
        <v>695</v>
      </c>
      <c r="D30" s="13" t="s">
        <v>696</v>
      </c>
      <c r="E30" s="13" t="s">
        <v>44</v>
      </c>
      <c r="F30" s="13" t="s">
        <v>697</v>
      </c>
      <c r="G30" s="13" t="s">
        <v>24</v>
      </c>
      <c r="H30" s="28" t="s">
        <v>599</v>
      </c>
    </row>
    <row r="31" spans="1:8">
      <c r="A31" s="83"/>
      <c r="B31" s="12">
        <v>3</v>
      </c>
      <c r="C31" s="13" t="s">
        <v>698</v>
      </c>
      <c r="D31" s="13" t="s">
        <v>699</v>
      </c>
      <c r="E31" s="13" t="s">
        <v>44</v>
      </c>
      <c r="F31" s="13" t="s">
        <v>700</v>
      </c>
      <c r="G31" s="13" t="s">
        <v>31</v>
      </c>
      <c r="H31" s="15" t="s">
        <v>701</v>
      </c>
    </row>
    <row r="32" spans="1:8">
      <c r="A32" s="83"/>
      <c r="B32" s="12">
        <v>5</v>
      </c>
      <c r="C32" s="13" t="s">
        <v>702</v>
      </c>
      <c r="D32" s="13" t="s">
        <v>703</v>
      </c>
      <c r="E32" s="13" t="s">
        <v>44</v>
      </c>
      <c r="F32" s="13" t="s">
        <v>704</v>
      </c>
      <c r="G32" s="13" t="s">
        <v>23</v>
      </c>
      <c r="H32" s="15" t="s">
        <v>705</v>
      </c>
    </row>
    <row r="33" spans="1:8">
      <c r="A33" s="84"/>
      <c r="B33" s="18">
        <v>5</v>
      </c>
      <c r="C33" s="19" t="s">
        <v>706</v>
      </c>
      <c r="D33" s="19" t="s">
        <v>707</v>
      </c>
      <c r="E33" s="19" t="s">
        <v>44</v>
      </c>
      <c r="F33" s="19" t="s">
        <v>635</v>
      </c>
      <c r="G33" s="27" t="s">
        <v>38</v>
      </c>
      <c r="H33" s="20" t="s">
        <v>708</v>
      </c>
    </row>
    <row r="35" spans="1:8">
      <c r="A35" s="82" t="s">
        <v>13</v>
      </c>
      <c r="B35" s="8">
        <v>1</v>
      </c>
      <c r="C35" s="9" t="s">
        <v>709</v>
      </c>
      <c r="D35" s="21" t="s">
        <v>710</v>
      </c>
      <c r="E35" s="21" t="s">
        <v>44</v>
      </c>
      <c r="F35" s="21" t="s">
        <v>711</v>
      </c>
      <c r="G35" s="22" t="s">
        <v>24</v>
      </c>
      <c r="H35" s="23" t="s">
        <v>712</v>
      </c>
    </row>
    <row r="36" spans="1:8">
      <c r="A36" s="83"/>
      <c r="B36" s="12">
        <v>2</v>
      </c>
      <c r="C36" s="13" t="s">
        <v>713</v>
      </c>
      <c r="D36" s="13" t="s">
        <v>714</v>
      </c>
      <c r="E36" s="13" t="s">
        <v>44</v>
      </c>
      <c r="F36" s="13" t="s">
        <v>700</v>
      </c>
      <c r="G36" s="29" t="s">
        <v>31</v>
      </c>
      <c r="H36" s="15" t="s">
        <v>701</v>
      </c>
    </row>
    <row r="37" spans="1:8">
      <c r="A37" s="83"/>
      <c r="B37" s="12">
        <v>3</v>
      </c>
      <c r="C37" s="13" t="s">
        <v>715</v>
      </c>
      <c r="D37" s="13" t="s">
        <v>716</v>
      </c>
      <c r="E37" s="13" t="s">
        <v>44</v>
      </c>
      <c r="F37" s="13" t="s">
        <v>717</v>
      </c>
      <c r="G37" s="30" t="s">
        <v>33</v>
      </c>
      <c r="H37" s="15" t="s">
        <v>718</v>
      </c>
    </row>
    <row r="38" spans="1:8">
      <c r="A38" s="83"/>
      <c r="B38" s="12">
        <v>3</v>
      </c>
      <c r="C38" s="13" t="s">
        <v>719</v>
      </c>
      <c r="D38" s="13" t="s">
        <v>720</v>
      </c>
      <c r="E38" s="13" t="s">
        <v>44</v>
      </c>
      <c r="F38" s="13" t="s">
        <v>700</v>
      </c>
      <c r="G38" s="13" t="s">
        <v>31</v>
      </c>
      <c r="H38" s="15" t="s">
        <v>701</v>
      </c>
    </row>
    <row r="39" spans="1:8">
      <c r="A39" s="83"/>
      <c r="B39" s="12">
        <v>5</v>
      </c>
      <c r="C39" s="13" t="s">
        <v>721</v>
      </c>
      <c r="D39" s="13" t="s">
        <v>722</v>
      </c>
      <c r="E39" s="13" t="s">
        <v>44</v>
      </c>
      <c r="F39" s="13" t="s">
        <v>723</v>
      </c>
      <c r="G39" s="13" t="s">
        <v>24</v>
      </c>
      <c r="H39" s="15" t="s">
        <v>724</v>
      </c>
    </row>
    <row r="40" spans="1:8">
      <c r="A40" s="84"/>
      <c r="B40" s="18">
        <v>5</v>
      </c>
      <c r="C40" s="19" t="s">
        <v>725</v>
      </c>
      <c r="D40" s="19" t="s">
        <v>726</v>
      </c>
      <c r="E40" s="19" t="s">
        <v>44</v>
      </c>
      <c r="F40" s="19" t="s">
        <v>635</v>
      </c>
      <c r="G40" s="27" t="s">
        <v>38</v>
      </c>
      <c r="H40" s="20" t="s">
        <v>636</v>
      </c>
    </row>
    <row r="42" spans="1:8">
      <c r="A42" s="82" t="s">
        <v>14</v>
      </c>
      <c r="B42" s="8">
        <v>1</v>
      </c>
      <c r="C42" s="9" t="s">
        <v>727</v>
      </c>
      <c r="D42" s="21" t="s">
        <v>728</v>
      </c>
      <c r="E42" s="21" t="s">
        <v>44</v>
      </c>
      <c r="F42" s="21" t="s">
        <v>584</v>
      </c>
      <c r="G42" s="22" t="s">
        <v>24</v>
      </c>
      <c r="H42" s="23" t="s">
        <v>712</v>
      </c>
    </row>
    <row r="43" spans="1:8">
      <c r="A43" s="83"/>
      <c r="B43" s="12">
        <v>2</v>
      </c>
      <c r="C43" s="13" t="s">
        <v>729</v>
      </c>
      <c r="D43" s="13" t="s">
        <v>730</v>
      </c>
      <c r="E43" s="13" t="s">
        <v>44</v>
      </c>
      <c r="F43" s="13" t="s">
        <v>700</v>
      </c>
      <c r="G43" s="13" t="s">
        <v>31</v>
      </c>
      <c r="H43" s="15" t="s">
        <v>701</v>
      </c>
    </row>
    <row r="44" spans="1:8">
      <c r="A44" s="83"/>
      <c r="B44" s="12">
        <v>3</v>
      </c>
      <c r="C44" s="13" t="s">
        <v>731</v>
      </c>
      <c r="D44" s="13" t="s">
        <v>732</v>
      </c>
      <c r="E44" s="13" t="s">
        <v>44</v>
      </c>
      <c r="F44" s="13" t="s">
        <v>697</v>
      </c>
      <c r="G44" s="29" t="s">
        <v>24</v>
      </c>
      <c r="H44" s="15" t="s">
        <v>599</v>
      </c>
    </row>
    <row r="45" spans="1:8">
      <c r="A45" s="83"/>
      <c r="B45" s="12">
        <v>3</v>
      </c>
      <c r="C45" s="13" t="s">
        <v>733</v>
      </c>
      <c r="D45" s="13" t="s">
        <v>734</v>
      </c>
      <c r="E45" s="13" t="s">
        <v>44</v>
      </c>
      <c r="F45" s="13" t="s">
        <v>735</v>
      </c>
      <c r="G45" s="14" t="s">
        <v>541</v>
      </c>
      <c r="H45" s="15" t="s">
        <v>736</v>
      </c>
    </row>
    <row r="46" spans="1:8">
      <c r="A46" s="83"/>
      <c r="B46" s="12">
        <v>5</v>
      </c>
      <c r="C46" s="13" t="s">
        <v>737</v>
      </c>
      <c r="D46" s="13" t="s">
        <v>738</v>
      </c>
      <c r="E46" s="13" t="s">
        <v>44</v>
      </c>
      <c r="F46" s="13" t="s">
        <v>584</v>
      </c>
      <c r="G46" s="29" t="s">
        <v>24</v>
      </c>
      <c r="H46" s="15" t="s">
        <v>712</v>
      </c>
    </row>
    <row r="47" spans="1:8">
      <c r="A47" s="84"/>
      <c r="B47" s="18">
        <v>5</v>
      </c>
      <c r="C47" s="19" t="s">
        <v>739</v>
      </c>
      <c r="D47" s="19" t="s">
        <v>740</v>
      </c>
      <c r="E47" s="19" t="s">
        <v>44</v>
      </c>
      <c r="F47" s="19" t="s">
        <v>741</v>
      </c>
      <c r="G47" s="27" t="s">
        <v>28</v>
      </c>
      <c r="H47" s="31" t="s">
        <v>683</v>
      </c>
    </row>
    <row r="49" spans="1:8">
      <c r="A49" s="82" t="s">
        <v>15</v>
      </c>
      <c r="B49" s="8">
        <v>1</v>
      </c>
      <c r="C49" s="9" t="s">
        <v>742</v>
      </c>
      <c r="D49" s="21" t="s">
        <v>743</v>
      </c>
      <c r="E49" s="21" t="s">
        <v>44</v>
      </c>
      <c r="F49" s="21" t="s">
        <v>744</v>
      </c>
      <c r="G49" s="22" t="s">
        <v>745</v>
      </c>
      <c r="H49" s="23" t="s">
        <v>746</v>
      </c>
    </row>
    <row r="50" spans="1:8" ht="26.25">
      <c r="A50" s="83"/>
      <c r="B50" s="12">
        <v>2</v>
      </c>
      <c r="C50" s="13" t="s">
        <v>747</v>
      </c>
      <c r="D50" s="13" t="s">
        <v>748</v>
      </c>
      <c r="E50" s="13" t="s">
        <v>44</v>
      </c>
      <c r="F50" s="13" t="s">
        <v>657</v>
      </c>
      <c r="G50" s="13" t="s">
        <v>25</v>
      </c>
      <c r="H50" s="28" t="s">
        <v>673</v>
      </c>
    </row>
    <row r="51" spans="1:8">
      <c r="A51" s="83"/>
      <c r="B51" s="12">
        <v>3</v>
      </c>
      <c r="C51" s="13" t="s">
        <v>749</v>
      </c>
      <c r="D51" s="13" t="s">
        <v>750</v>
      </c>
      <c r="E51" s="13" t="s">
        <v>44</v>
      </c>
      <c r="F51" s="13" t="s">
        <v>693</v>
      </c>
      <c r="G51" s="29" t="s">
        <v>22</v>
      </c>
      <c r="H51" s="15" t="s">
        <v>751</v>
      </c>
    </row>
    <row r="52" spans="1:8">
      <c r="A52" s="83"/>
      <c r="B52" s="12">
        <v>3</v>
      </c>
      <c r="C52" s="13" t="s">
        <v>752</v>
      </c>
      <c r="D52" s="13" t="s">
        <v>753</v>
      </c>
      <c r="E52" s="13" t="s">
        <v>44</v>
      </c>
      <c r="F52" s="13" t="s">
        <v>754</v>
      </c>
      <c r="G52" s="14" t="s">
        <v>20</v>
      </c>
      <c r="H52" s="15" t="s">
        <v>755</v>
      </c>
    </row>
    <row r="53" spans="1:8">
      <c r="A53" s="83"/>
      <c r="B53" s="12">
        <v>5</v>
      </c>
      <c r="C53" s="13" t="s">
        <v>756</v>
      </c>
      <c r="D53" s="13" t="s">
        <v>757</v>
      </c>
      <c r="E53" s="13" t="s">
        <v>44</v>
      </c>
      <c r="F53" s="13" t="s">
        <v>758</v>
      </c>
      <c r="G53" s="29" t="s">
        <v>22</v>
      </c>
      <c r="H53" s="15" t="s">
        <v>759</v>
      </c>
    </row>
    <row r="54" spans="1:8">
      <c r="A54" s="84"/>
      <c r="B54" s="18">
        <v>5</v>
      </c>
      <c r="C54" s="19" t="s">
        <v>760</v>
      </c>
      <c r="D54" s="19" t="s">
        <v>761</v>
      </c>
      <c r="E54" s="19" t="s">
        <v>44</v>
      </c>
      <c r="F54" s="19" t="s">
        <v>657</v>
      </c>
      <c r="G54" s="27" t="s">
        <v>25</v>
      </c>
      <c r="H54" s="20" t="s">
        <v>658</v>
      </c>
    </row>
    <row r="56" spans="1:8" ht="22.5" customHeight="1">
      <c r="A56" s="82" t="s">
        <v>16</v>
      </c>
      <c r="B56" s="8">
        <v>1</v>
      </c>
      <c r="C56" s="9" t="s">
        <v>762</v>
      </c>
      <c r="D56" s="21" t="s">
        <v>763</v>
      </c>
      <c r="E56" s="21" t="s">
        <v>44</v>
      </c>
      <c r="F56" s="21" t="s">
        <v>764</v>
      </c>
      <c r="G56" s="32" t="s">
        <v>23</v>
      </c>
      <c r="H56" s="23" t="s">
        <v>765</v>
      </c>
    </row>
    <row r="57" spans="1:8" ht="18.75" customHeight="1">
      <c r="A57" s="83"/>
      <c r="B57" s="12">
        <v>2</v>
      </c>
      <c r="C57" s="13" t="s">
        <v>766</v>
      </c>
      <c r="D57" s="13" t="s">
        <v>767</v>
      </c>
      <c r="E57" s="13" t="s">
        <v>44</v>
      </c>
      <c r="F57" s="13" t="s">
        <v>768</v>
      </c>
      <c r="G57" s="29" t="s">
        <v>22</v>
      </c>
      <c r="H57" s="15" t="s">
        <v>769</v>
      </c>
    </row>
    <row r="58" spans="1:8" ht="16.5" customHeight="1">
      <c r="A58" s="83"/>
      <c r="B58" s="12">
        <v>3</v>
      </c>
      <c r="C58" s="13" t="s">
        <v>770</v>
      </c>
      <c r="D58" s="13" t="s">
        <v>771</v>
      </c>
      <c r="E58" s="13" t="s">
        <v>44</v>
      </c>
      <c r="F58" s="13" t="s">
        <v>772</v>
      </c>
      <c r="G58" s="29" t="s">
        <v>32</v>
      </c>
      <c r="H58" s="28" t="s">
        <v>773</v>
      </c>
    </row>
    <row r="59" spans="1:8">
      <c r="A59" s="83"/>
      <c r="B59" s="12">
        <v>3</v>
      </c>
      <c r="C59" s="13" t="s">
        <v>774</v>
      </c>
      <c r="D59" s="13" t="s">
        <v>775</v>
      </c>
      <c r="E59" s="13" t="s">
        <v>44</v>
      </c>
      <c r="F59" s="13" t="s">
        <v>776</v>
      </c>
      <c r="G59" s="13" t="s">
        <v>22</v>
      </c>
      <c r="H59" s="15" t="s">
        <v>777</v>
      </c>
    </row>
    <row r="60" spans="1:8">
      <c r="A60" s="83"/>
      <c r="B60" s="12">
        <v>5</v>
      </c>
      <c r="C60" s="13" t="s">
        <v>778</v>
      </c>
      <c r="D60" s="13" t="s">
        <v>779</v>
      </c>
      <c r="E60" s="13" t="s">
        <v>44</v>
      </c>
      <c r="F60" s="13" t="s">
        <v>657</v>
      </c>
      <c r="G60" s="29" t="s">
        <v>25</v>
      </c>
      <c r="H60" s="15" t="s">
        <v>658</v>
      </c>
    </row>
    <row r="61" spans="1:8">
      <c r="A61" s="84"/>
      <c r="B61" s="18">
        <v>5</v>
      </c>
      <c r="C61" s="19" t="s">
        <v>780</v>
      </c>
      <c r="D61" s="19" t="s">
        <v>781</v>
      </c>
      <c r="E61" s="19" t="s">
        <v>44</v>
      </c>
      <c r="F61" s="19" t="s">
        <v>657</v>
      </c>
      <c r="G61" s="27" t="s">
        <v>25</v>
      </c>
      <c r="H61" s="20" t="s">
        <v>658</v>
      </c>
    </row>
    <row r="63" spans="1:8">
      <c r="A63" s="82" t="s">
        <v>17</v>
      </c>
      <c r="B63" s="8">
        <v>1</v>
      </c>
      <c r="C63" s="9" t="s">
        <v>782</v>
      </c>
      <c r="D63" s="21" t="s">
        <v>783</v>
      </c>
      <c r="E63" s="21" t="s">
        <v>44</v>
      </c>
      <c r="F63" s="21" t="s">
        <v>657</v>
      </c>
      <c r="G63" s="32" t="s">
        <v>25</v>
      </c>
      <c r="H63" s="23" t="s">
        <v>658</v>
      </c>
    </row>
    <row r="64" spans="1:8">
      <c r="A64" s="83"/>
      <c r="B64" s="12">
        <v>2</v>
      </c>
      <c r="C64" s="13" t="s">
        <v>784</v>
      </c>
      <c r="D64" s="13" t="s">
        <v>785</v>
      </c>
      <c r="E64" s="13" t="s">
        <v>44</v>
      </c>
      <c r="F64" s="13" t="s">
        <v>786</v>
      </c>
      <c r="G64" s="29" t="s">
        <v>34</v>
      </c>
      <c r="H64" s="15" t="s">
        <v>787</v>
      </c>
    </row>
    <row r="65" spans="1:8">
      <c r="A65" s="83"/>
      <c r="B65" s="12">
        <v>3</v>
      </c>
      <c r="C65" s="13" t="s">
        <v>788</v>
      </c>
      <c r="D65" s="13" t="s">
        <v>789</v>
      </c>
      <c r="E65" s="13" t="s">
        <v>44</v>
      </c>
      <c r="F65" s="13" t="s">
        <v>657</v>
      </c>
      <c r="G65" s="29" t="s">
        <v>25</v>
      </c>
      <c r="H65" s="15" t="s">
        <v>673</v>
      </c>
    </row>
    <row r="66" spans="1:8">
      <c r="A66" s="83"/>
      <c r="B66" s="12">
        <v>3</v>
      </c>
      <c r="C66" s="13" t="s">
        <v>790</v>
      </c>
      <c r="D66" s="13" t="s">
        <v>791</v>
      </c>
      <c r="E66" s="13" t="s">
        <v>44</v>
      </c>
      <c r="F66" s="13" t="s">
        <v>657</v>
      </c>
      <c r="G66" s="13" t="s">
        <v>25</v>
      </c>
      <c r="H66" s="15" t="s">
        <v>658</v>
      </c>
    </row>
    <row r="67" spans="1:8">
      <c r="A67" s="83"/>
      <c r="B67" s="12">
        <v>5</v>
      </c>
      <c r="C67" s="13" t="s">
        <v>792</v>
      </c>
      <c r="D67" s="13" t="s">
        <v>793</v>
      </c>
      <c r="E67" s="13" t="s">
        <v>44</v>
      </c>
      <c r="F67" s="13" t="s">
        <v>704</v>
      </c>
      <c r="G67" s="29" t="s">
        <v>23</v>
      </c>
      <c r="H67" s="15" t="s">
        <v>705</v>
      </c>
    </row>
    <row r="68" spans="1:8">
      <c r="A68" s="84"/>
      <c r="B68" s="18">
        <v>5</v>
      </c>
      <c r="C68" s="33" t="s">
        <v>619</v>
      </c>
      <c r="D68" s="33" t="s">
        <v>619</v>
      </c>
      <c r="E68" s="33" t="s">
        <v>619</v>
      </c>
      <c r="F68" s="33" t="s">
        <v>619</v>
      </c>
      <c r="G68" s="34" t="s">
        <v>619</v>
      </c>
      <c r="H68" s="35" t="s">
        <v>619</v>
      </c>
    </row>
    <row r="69" spans="1:8">
      <c r="A69" s="36"/>
      <c r="B69" s="37"/>
      <c r="C69" s="2"/>
      <c r="D69" s="2"/>
      <c r="E69" s="2"/>
      <c r="F69" s="2"/>
      <c r="G69" s="38"/>
      <c r="H69" s="39"/>
    </row>
    <row r="70" spans="1:8" ht="18" customHeight="1">
      <c r="A70" s="82" t="s">
        <v>794</v>
      </c>
      <c r="B70" s="8">
        <v>1</v>
      </c>
      <c r="C70" s="9" t="s">
        <v>795</v>
      </c>
      <c r="D70" s="21" t="s">
        <v>796</v>
      </c>
      <c r="E70" s="21" t="s">
        <v>44</v>
      </c>
      <c r="F70" s="21" t="s">
        <v>635</v>
      </c>
      <c r="G70" s="32" t="s">
        <v>38</v>
      </c>
      <c r="H70" s="40" t="s">
        <v>651</v>
      </c>
    </row>
    <row r="71" spans="1:8">
      <c r="A71" s="83"/>
      <c r="B71" s="12">
        <v>2</v>
      </c>
      <c r="C71" s="13" t="s">
        <v>797</v>
      </c>
      <c r="D71" s="13" t="s">
        <v>798</v>
      </c>
      <c r="E71" s="13" t="s">
        <v>44</v>
      </c>
      <c r="F71" s="13" t="s">
        <v>799</v>
      </c>
      <c r="G71" s="29" t="s">
        <v>20</v>
      </c>
      <c r="H71" s="15" t="s">
        <v>755</v>
      </c>
    </row>
    <row r="72" spans="1:8">
      <c r="A72" s="83"/>
      <c r="B72" s="12">
        <v>3</v>
      </c>
      <c r="C72" s="13" t="s">
        <v>800</v>
      </c>
      <c r="D72" s="13" t="s">
        <v>801</v>
      </c>
      <c r="E72" s="13" t="s">
        <v>44</v>
      </c>
      <c r="F72" s="13" t="s">
        <v>657</v>
      </c>
      <c r="G72" s="29" t="s">
        <v>25</v>
      </c>
      <c r="H72" s="15" t="s">
        <v>673</v>
      </c>
    </row>
    <row r="73" spans="1:8">
      <c r="A73" s="83"/>
      <c r="B73" s="12">
        <v>3</v>
      </c>
      <c r="C73" s="13" t="s">
        <v>802</v>
      </c>
      <c r="D73" s="13" t="s">
        <v>803</v>
      </c>
      <c r="E73" s="13" t="s">
        <v>44</v>
      </c>
      <c r="F73" s="13" t="s">
        <v>635</v>
      </c>
      <c r="G73" s="13" t="s">
        <v>38</v>
      </c>
      <c r="H73" s="15" t="s">
        <v>651</v>
      </c>
    </row>
    <row r="74" spans="1:8">
      <c r="A74" s="83"/>
      <c r="B74" s="12">
        <v>5</v>
      </c>
      <c r="C74" s="13" t="s">
        <v>804</v>
      </c>
      <c r="D74" s="13" t="s">
        <v>805</v>
      </c>
      <c r="E74" s="13" t="s">
        <v>44</v>
      </c>
      <c r="F74" s="13" t="s">
        <v>806</v>
      </c>
      <c r="G74" s="29" t="s">
        <v>36</v>
      </c>
      <c r="H74" s="15" t="s">
        <v>807</v>
      </c>
    </row>
    <row r="75" spans="1:8">
      <c r="A75" s="84"/>
      <c r="B75" s="18">
        <v>5</v>
      </c>
      <c r="C75" s="19" t="s">
        <v>808</v>
      </c>
      <c r="D75" s="19" t="s">
        <v>809</v>
      </c>
      <c r="E75" s="19" t="s">
        <v>44</v>
      </c>
      <c r="F75" s="19" t="s">
        <v>657</v>
      </c>
      <c r="G75" s="27" t="s">
        <v>25</v>
      </c>
      <c r="H75" s="20" t="s">
        <v>673</v>
      </c>
    </row>
    <row r="79" spans="1:8" ht="22.5" customHeight="1">
      <c r="B79" s="41" t="s">
        <v>18</v>
      </c>
      <c r="F79" s="42" t="s">
        <v>810</v>
      </c>
      <c r="H79" s="2" t="s">
        <v>618</v>
      </c>
    </row>
    <row r="80" spans="1:8" ht="12.75">
      <c r="B80" s="43"/>
    </row>
    <row r="81" spans="2:8" ht="12.75">
      <c r="B81" s="41" t="s">
        <v>9</v>
      </c>
      <c r="F81" s="42" t="s">
        <v>811</v>
      </c>
      <c r="H81" s="2" t="s">
        <v>618</v>
      </c>
    </row>
  </sheetData>
  <mergeCells count="14">
    <mergeCell ref="A63:A68"/>
    <mergeCell ref="A70:A75"/>
    <mergeCell ref="A1:H1"/>
    <mergeCell ref="A2:H2"/>
    <mergeCell ref="A3:H3"/>
    <mergeCell ref="A4:H4"/>
    <mergeCell ref="A7:A12"/>
    <mergeCell ref="A14:A19"/>
    <mergeCell ref="A21:A26"/>
    <mergeCell ref="A28:A33"/>
    <mergeCell ref="A35:A40"/>
    <mergeCell ref="A42:A47"/>
    <mergeCell ref="A49:A54"/>
    <mergeCell ref="A56:A61"/>
  </mergeCells>
  <conditionalFormatting sqref="A13 A20 A27 A34 A41 A48 A55 A62 A76:A81">
    <cfRule type="expression" dxfId="2" priority="1">
      <formula>" =AND(NOT(ISBLANK(A1)); COUNTIF($B$1:$F; "=" &amp; A1) &gt; 1)"</formula>
    </cfRule>
  </conditionalFormatting>
  <conditionalFormatting sqref="B13 B20 B27 B34 B41 B48 B55 B62 B76:B81">
    <cfRule type="expression" dxfId="1" priority="2">
      <formula>" =AND(NOT(ISBLANK(B1)); COUNTIF($B$1:$F; "=" &amp; B1) &gt; 1)"</formula>
    </cfRule>
  </conditionalFormatting>
  <conditionalFormatting sqref="B5:B6 B13 B20 B27 B34 B41 B48 B55 B62 B76:B81">
    <cfRule type="expression" dxfId="0" priority="3">
      <formula>AND(NOT(ISBLANK(B5)), COUNTIF($B$1:$F81, "=" &amp; B5) &gt; 1)</formula>
    </cfRule>
  </conditionalFormatting>
  <printOptions horizontalCentered="1"/>
  <pageMargins left="0.25" right="0.25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workbookViewId="0"/>
  </sheetViews>
  <sheetFormatPr defaultColWidth="12.5703125" defaultRowHeight="15.75" customHeight="1"/>
  <cols>
    <col min="1" max="1" width="7" customWidth="1"/>
    <col min="2" max="2" width="6" customWidth="1"/>
    <col min="3" max="6" width="3.42578125" customWidth="1"/>
    <col min="7" max="7" width="20.28515625" customWidth="1"/>
    <col min="10" max="10" width="5.7109375" customWidth="1"/>
    <col min="11" max="11" width="6.85546875" customWidth="1"/>
    <col min="12" max="12" width="21.85546875" customWidth="1"/>
    <col min="14" max="14" width="3.7109375" customWidth="1"/>
  </cols>
  <sheetData>
    <row r="1" spans="1:19">
      <c r="A1" s="44">
        <f>'Призеры 6'!J7</f>
        <v>0</v>
      </c>
      <c r="B1" s="48">
        <f>'Призеры 6'!K7</f>
        <v>0</v>
      </c>
      <c r="C1" s="14" t="s">
        <v>39</v>
      </c>
      <c r="Q1" s="45" t="str">
        <f ca="1">IFERROR(__xludf.DUMMYFUNCTION("UNIQUE(M1:M1000)"),"")</f>
        <v/>
      </c>
      <c r="R1" s="46">
        <f ca="1">IFERROR(__xludf.DUMMYFUNCTION("COUNTUNIQUE(M1:M1000)"),50)</f>
        <v>50</v>
      </c>
      <c r="S1" s="47"/>
    </row>
    <row r="2" spans="1:19">
      <c r="A2" s="44">
        <f>'Призеры 6'!J8</f>
        <v>0</v>
      </c>
      <c r="B2" s="48">
        <f>'Призеры 6'!K8</f>
        <v>0</v>
      </c>
      <c r="C2" s="1">
        <f ca="1">IFERROR(__xludf.DUMMYFUNCTION("ARRAYFORMULA({QUERY(IMPORTRANGE(B1,""Пр.взв!A6:M""),""SELECT * where Col5 &lt;&gt; ''"",0);(QUERY(IMPORTRANGE(B2,""Пр.взв!A6:M""),""SELECT * where Col5 &lt;&gt; ''"",0));(QUERY(IMPORTRANGE(B3,""Пр.взв!A6:M""),""SELECT * where Col5 &lt;&gt; ''"",0));(QUERY(IMPORTRANGE(B4,"""&amp;"Пр.взв!A6:M""),""SELECT * where Col5 &lt;&gt; ''"",0));(QUERY(IMPORTRANGE(B5,""Пр.взв!A6:M""),""SELECT * where Col5 &lt;&gt; ''"",0));(QUERY(IMPORTRANGE(B6,""Пр.взв!A6:M""),""SELECT * where Col5 &lt;&gt; ''"",0));(QUERY(IMPORTRANGE(B7,""Пр.взв!A6:M""),""SELECT * where Col5"&amp;" &lt;&gt; ''"",0));(QUERY(IMPORTRANGE(B8,""Пр.взв!A6:M""),""SELECT * where Col5 &lt;&gt; ''"",0))})"),42)</f>
        <v>42</v>
      </c>
      <c r="D2" s="1">
        <f ca="1">IFERROR(__xludf.DUMMYFUNCTION("""COMPUTED_VALUE"""),42)</f>
        <v>42</v>
      </c>
      <c r="E2" s="1"/>
      <c r="F2" s="1">
        <f ca="1">IFERROR(__xludf.DUMMYFUNCTION("""COMPUTED_VALUE"""),2)</f>
        <v>2</v>
      </c>
      <c r="G2" s="1" t="str">
        <f ca="1">IFERROR(__xludf.DUMMYFUNCTION("""COMPUTED_VALUE"""),"ЛИФИНЦЕВ Кирилл")</f>
        <v>ЛИФИНЦЕВ Кирилл</v>
      </c>
      <c r="H2" s="1" t="str">
        <f ca="1">IFERROR(__xludf.DUMMYFUNCTION("""COMPUTED_VALUE"""),"ЛИФИНЦЕВ Кирилл Сергеевич")</f>
        <v>ЛИФИНЦЕВ Кирилл Сергеевич</v>
      </c>
      <c r="I2" s="1" t="str">
        <f ca="1">IFERROR(__xludf.DUMMYFUNCTION("""COMPUTED_VALUE"""),"22.07.10, 2юн")</f>
        <v>22.07.10, 2юн</v>
      </c>
      <c r="J2" s="1" t="str">
        <f ca="1">IFERROR(__xludf.DUMMYFUNCTION("""COMPUTED_VALUE"""),"2юн")</f>
        <v>2юн</v>
      </c>
      <c r="K2" s="1" t="str">
        <f ca="1">IFERROR(__xludf.DUMMYFUNCTION("""COMPUTED_VALUE"""),"СФО")</f>
        <v>СФО</v>
      </c>
      <c r="L2" s="1" t="str">
        <f ca="1">IFERROR(__xludf.DUMMYFUNCTION("""COMPUTED_VALUE"""),"Баево, СШ")</f>
        <v>Баево, СШ</v>
      </c>
      <c r="M2" s="1" t="str">
        <f ca="1">IFERROR(__xludf.DUMMYFUNCTION("""COMPUTED_VALUE"""),"Баево")</f>
        <v>Баево</v>
      </c>
      <c r="N2" s="1"/>
      <c r="O2" s="1" t="str">
        <f ca="1">IFERROR(__xludf.DUMMYFUNCTION("""COMPUTED_VALUE"""),"Ливенус АВ")</f>
        <v>Ливенус АВ</v>
      </c>
      <c r="Q2" s="1" t="str">
        <f ca="1">IFERROR(__xludf.DUMMYFUNCTION("""COMPUTED_VALUE"""),"Баево")</f>
        <v>Баево</v>
      </c>
    </row>
    <row r="3" spans="1:19">
      <c r="A3" s="44">
        <f>'Призеры 6'!J9</f>
        <v>0</v>
      </c>
      <c r="B3" s="48">
        <f>'Призеры 6'!K9</f>
        <v>0</v>
      </c>
      <c r="C3" s="1">
        <f ca="1">IFERROR(__xludf.DUMMYFUNCTION("""COMPUTED_VALUE"""),42)</f>
        <v>42</v>
      </c>
      <c r="D3" s="1">
        <f ca="1">IFERROR(__xludf.DUMMYFUNCTION("""COMPUTED_VALUE"""),42)</f>
        <v>42</v>
      </c>
      <c r="E3" s="1"/>
      <c r="F3" s="1">
        <f ca="1">IFERROR(__xludf.DUMMYFUNCTION("""COMPUTED_VALUE"""),3)</f>
        <v>3</v>
      </c>
      <c r="G3" s="1" t="str">
        <f ca="1">IFERROR(__xludf.DUMMYFUNCTION("""COMPUTED_VALUE"""),"НЕМЦЕВ Денис")</f>
        <v>НЕМЦЕВ Денис</v>
      </c>
      <c r="H3" s="1" t="str">
        <f ca="1">IFERROR(__xludf.DUMMYFUNCTION("""COMPUTED_VALUE"""),"НЕМЦЕВ Денис Андреевич")</f>
        <v>НЕМЦЕВ Денис Андреевич</v>
      </c>
      <c r="I3" s="1" t="str">
        <f ca="1">IFERROR(__xludf.DUMMYFUNCTION("""COMPUTED_VALUE"""),"12.11.11, 2юн")</f>
        <v>12.11.11, 2юн</v>
      </c>
      <c r="J3" s="1" t="str">
        <f ca="1">IFERROR(__xludf.DUMMYFUNCTION("""COMPUTED_VALUE"""),"2юн")</f>
        <v>2юн</v>
      </c>
      <c r="K3" s="1" t="str">
        <f ca="1">IFERROR(__xludf.DUMMYFUNCTION("""COMPUTED_VALUE"""),"СФО")</f>
        <v>СФО</v>
      </c>
      <c r="L3" s="1" t="str">
        <f ca="1">IFERROR(__xludf.DUMMYFUNCTION("""COMPUTED_VALUE"""),"Барнаул, АКОО""КСЕ""ФАВОРИТ""")</f>
        <v>Барнаул, АКОО"КСЕ"ФАВОРИТ"</v>
      </c>
      <c r="M3" s="1" t="str">
        <f ca="1">IFERROR(__xludf.DUMMYFUNCTION("""COMPUTED_VALUE"""),"Барнаул")</f>
        <v>Барнаул</v>
      </c>
      <c r="N3" s="1"/>
      <c r="O3" s="1" t="str">
        <f ca="1">IFERROR(__xludf.DUMMYFUNCTION("""COMPUTED_VALUE"""),"Струфа М.Л.")</f>
        <v>Струфа М.Л.</v>
      </c>
      <c r="Q3" s="1" t="str">
        <f ca="1">IFERROR(__xludf.DUMMYFUNCTION("""COMPUTED_VALUE"""),"Барнаул")</f>
        <v>Барнаул</v>
      </c>
    </row>
    <row r="4" spans="1:19">
      <c r="A4" s="44">
        <f>'Призеры 6'!J10</f>
        <v>0</v>
      </c>
      <c r="B4" s="48">
        <f>'Призеры 6'!K10</f>
        <v>0</v>
      </c>
      <c r="C4" s="1">
        <f ca="1">IFERROR(__xludf.DUMMYFUNCTION("""COMPUTED_VALUE"""),42)</f>
        <v>42</v>
      </c>
      <c r="D4" s="1">
        <f ca="1">IFERROR(__xludf.DUMMYFUNCTION("""COMPUTED_VALUE"""),42)</f>
        <v>42</v>
      </c>
      <c r="E4" s="1"/>
      <c r="F4" s="1">
        <f ca="1">IFERROR(__xludf.DUMMYFUNCTION("""COMPUTED_VALUE"""),7)</f>
        <v>7</v>
      </c>
      <c r="G4" s="1" t="str">
        <f ca="1">IFERROR(__xludf.DUMMYFUNCTION("""COMPUTED_VALUE"""),"МАМАДЖАНОВ  Мухаммад ")</f>
        <v xml:space="preserve">МАМАДЖАНОВ  Мухаммад </v>
      </c>
      <c r="H4" s="1" t="str">
        <f ca="1">IFERROR(__xludf.DUMMYFUNCTION("""COMPUTED_VALUE"""),"МАМАДЖАНОВ  Мухаммад  Абдукодирович")</f>
        <v>МАМАДЖАНОВ  Мухаммад  Абдукодирович</v>
      </c>
      <c r="I4" s="1" t="str">
        <f ca="1">IFERROR(__xludf.DUMMYFUNCTION("""COMPUTED_VALUE"""),"08.11.11, 3юн")</f>
        <v>08.11.11, 3юн</v>
      </c>
      <c r="J4" s="1" t="str">
        <f ca="1">IFERROR(__xludf.DUMMYFUNCTION("""COMPUTED_VALUE"""),"3юн")</f>
        <v>3юн</v>
      </c>
      <c r="K4" s="1" t="str">
        <f ca="1">IFERROR(__xludf.DUMMYFUNCTION("""COMPUTED_VALUE"""),"СФО")</f>
        <v>СФО</v>
      </c>
      <c r="L4" s="1" t="str">
        <f ca="1">IFERROR(__xludf.DUMMYFUNCTION("""COMPUTED_VALUE"""),"Барнаул , КСЕ ""Фаворит""")</f>
        <v>Барнаул , КСЕ "Фаворит"</v>
      </c>
      <c r="M4" s="1" t="str">
        <f ca="1">IFERROR(__xludf.DUMMYFUNCTION("""COMPUTED_VALUE"""),"Барнаул ")</f>
        <v xml:space="preserve">Барнаул </v>
      </c>
      <c r="N4" s="1"/>
      <c r="O4" s="1" t="str">
        <f ca="1">IFERROR(__xludf.DUMMYFUNCTION("""COMPUTED_VALUE"""),"Тихонова С. Л.")</f>
        <v>Тихонова С. Л.</v>
      </c>
      <c r="Q4" s="1" t="str">
        <f ca="1">IFERROR(__xludf.DUMMYFUNCTION("""COMPUTED_VALUE"""),"Барнаул ")</f>
        <v xml:space="preserve">Барнаул </v>
      </c>
    </row>
    <row r="5" spans="1:19">
      <c r="A5" s="44">
        <f>'Призеры 6'!J11</f>
        <v>0</v>
      </c>
      <c r="B5" s="48">
        <f>'Призеры 6'!K11</f>
        <v>0</v>
      </c>
      <c r="C5" s="1">
        <f ca="1">IFERROR(__xludf.DUMMYFUNCTION("""COMPUTED_VALUE"""),42)</f>
        <v>42</v>
      </c>
      <c r="D5" s="1">
        <f ca="1">IFERROR(__xludf.DUMMYFUNCTION("""COMPUTED_VALUE"""),42)</f>
        <v>42</v>
      </c>
      <c r="E5" s="1"/>
      <c r="F5" s="1">
        <f ca="1">IFERROR(__xludf.DUMMYFUNCTION("""COMPUTED_VALUE"""),6)</f>
        <v>6</v>
      </c>
      <c r="G5" s="1" t="str">
        <f ca="1">IFERROR(__xludf.DUMMYFUNCTION("""COMPUTED_VALUE"""),"ПОРОШИН  Артём ")</f>
        <v xml:space="preserve">ПОРОШИН  Артём </v>
      </c>
      <c r="H5" s="1" t="str">
        <f ca="1">IFERROR(__xludf.DUMMYFUNCTION("""COMPUTED_VALUE"""),"ПОРОШИН  Артём  Михайлович ")</f>
        <v xml:space="preserve">ПОРОШИН  Артём  Михайлович </v>
      </c>
      <c r="I5" s="1" t="str">
        <f ca="1">IFERROR(__xludf.DUMMYFUNCTION("""COMPUTED_VALUE"""),"10.11.09, 3юн")</f>
        <v>10.11.09, 3юн</v>
      </c>
      <c r="J5" s="1" t="str">
        <f ca="1">IFERROR(__xludf.DUMMYFUNCTION("""COMPUTED_VALUE"""),"3юн")</f>
        <v>3юн</v>
      </c>
      <c r="K5" s="1" t="str">
        <f ca="1">IFERROR(__xludf.DUMMYFUNCTION("""COMPUTED_VALUE"""),"СФО")</f>
        <v>СФО</v>
      </c>
      <c r="L5" s="1" t="str">
        <f ca="1">IFERROR(__xludf.DUMMYFUNCTION("""COMPUTED_VALUE"""),"Барнаул , КСШОР ")</f>
        <v xml:space="preserve">Барнаул , КСШОР </v>
      </c>
      <c r="M5" s="1" t="str">
        <f ca="1">IFERROR(__xludf.DUMMYFUNCTION("""COMPUTED_VALUE"""),"Барнаул ")</f>
        <v xml:space="preserve">Барнаул </v>
      </c>
      <c r="N5" s="1"/>
      <c r="O5" s="1" t="str">
        <f ca="1">IFERROR(__xludf.DUMMYFUNCTION("""COMPUTED_VALUE"""),"Хоружев А.И. ")</f>
        <v xml:space="preserve">Хоружев А.И. </v>
      </c>
      <c r="Q5" s="1" t="str">
        <f ca="1">IFERROR(__xludf.DUMMYFUNCTION("""COMPUTED_VALUE"""),"Бийск")</f>
        <v>Бийск</v>
      </c>
    </row>
    <row r="6" spans="1:19">
      <c r="A6" s="44">
        <f>'Призеры 6'!J12</f>
        <v>0</v>
      </c>
      <c r="B6" s="48">
        <f>'Призеры 6'!K12</f>
        <v>0</v>
      </c>
      <c r="C6" s="1">
        <f ca="1">IFERROR(__xludf.DUMMYFUNCTION("""COMPUTED_VALUE"""),42)</f>
        <v>42</v>
      </c>
      <c r="D6" s="1">
        <f ca="1">IFERROR(__xludf.DUMMYFUNCTION("""COMPUTED_VALUE"""),42)</f>
        <v>42</v>
      </c>
      <c r="E6" s="1"/>
      <c r="F6" s="1">
        <f ca="1">IFERROR(__xludf.DUMMYFUNCTION("""COMPUTED_VALUE"""),5)</f>
        <v>5</v>
      </c>
      <c r="G6" s="1" t="str">
        <f ca="1">IFERROR(__xludf.DUMMYFUNCTION("""COMPUTED_VALUE"""),"САМЕДОВ Аким")</f>
        <v>САМЕДОВ Аким</v>
      </c>
      <c r="H6" s="1" t="str">
        <f ca="1">IFERROR(__xludf.DUMMYFUNCTION("""COMPUTED_VALUE"""),"САМЕДОВ Аким Анарович")</f>
        <v>САМЕДОВ Аким Анарович</v>
      </c>
      <c r="I6" s="1" t="str">
        <f ca="1">IFERROR(__xludf.DUMMYFUNCTION("""COMPUTED_VALUE"""),"17.11.11, 3сп")</f>
        <v>17.11.11, 3сп</v>
      </c>
      <c r="J6" s="1" t="str">
        <f ca="1">IFERROR(__xludf.DUMMYFUNCTION("""COMPUTED_VALUE"""),"3сп")</f>
        <v>3сп</v>
      </c>
      <c r="K6" s="1" t="str">
        <f ca="1">IFERROR(__xludf.DUMMYFUNCTION("""COMPUTED_VALUE"""),"СФО")</f>
        <v>СФО</v>
      </c>
      <c r="L6" s="1" t="str">
        <f ca="1">IFERROR(__xludf.DUMMYFUNCTION("""COMPUTED_VALUE"""),"Бийск, ""СШОР N°3"" им. А. Гуляева")</f>
        <v>Бийск, "СШОР N°3" им. А. Гуляева</v>
      </c>
      <c r="M6" s="1" t="str">
        <f ca="1">IFERROR(__xludf.DUMMYFUNCTION("""COMPUTED_VALUE"""),"Бийск")</f>
        <v>Бийск</v>
      </c>
      <c r="N6" s="1"/>
      <c r="O6" s="1" t="str">
        <f ca="1">IFERROR(__xludf.DUMMYFUNCTION("""COMPUTED_VALUE"""),"Демьяненко С.А., Димитриенко И.В.")</f>
        <v>Демьяненко С.А., Димитриенко И.В.</v>
      </c>
      <c r="Q6" s="1" t="str">
        <f ca="1">IFERROR(__xludf.DUMMYFUNCTION("""COMPUTED_VALUE"""),"Быстрянка. ")</f>
        <v xml:space="preserve">Быстрянка. </v>
      </c>
    </row>
    <row r="7" spans="1:19">
      <c r="A7" s="44">
        <f>'Призеры 6'!J13</f>
        <v>0</v>
      </c>
      <c r="B7" s="48">
        <f>'Призеры 6'!K13</f>
        <v>0</v>
      </c>
      <c r="C7" s="1">
        <f ca="1">IFERROR(__xludf.DUMMYFUNCTION("""COMPUTED_VALUE"""),42)</f>
        <v>42</v>
      </c>
      <c r="D7" s="1">
        <f ca="1">IFERROR(__xludf.DUMMYFUNCTION("""COMPUTED_VALUE"""),42)</f>
        <v>42</v>
      </c>
      <c r="E7" s="1"/>
      <c r="F7" s="1">
        <f ca="1">IFERROR(__xludf.DUMMYFUNCTION("""COMPUTED_VALUE"""),4)</f>
        <v>4</v>
      </c>
      <c r="G7" s="1" t="str">
        <f ca="1">IFERROR(__xludf.DUMMYFUNCTION("""COMPUTED_VALUE"""),"ГИЛЬДЕРМАН Михаил")</f>
        <v>ГИЛЬДЕРМАН Михаил</v>
      </c>
      <c r="H7" s="1" t="str">
        <f ca="1">IFERROR(__xludf.DUMMYFUNCTION("""COMPUTED_VALUE"""),"ГИЛЬДЕРМАН Михаил Анатольевич")</f>
        <v>ГИЛЬДЕРМАН Михаил Анатольевич</v>
      </c>
      <c r="I7" s="1" t="str">
        <f ca="1">IFERROR(__xludf.DUMMYFUNCTION("""COMPUTED_VALUE"""),"22.01.11, 2юн")</f>
        <v>22.01.11, 2юн</v>
      </c>
      <c r="J7" s="1" t="str">
        <f ca="1">IFERROR(__xludf.DUMMYFUNCTION("""COMPUTED_VALUE"""),"2юн")</f>
        <v>2юн</v>
      </c>
      <c r="K7" s="1" t="str">
        <f ca="1">IFERROR(__xludf.DUMMYFUNCTION("""COMPUTED_VALUE"""),"СФО")</f>
        <v>СФО</v>
      </c>
      <c r="L7" s="1" t="str">
        <f ca="1">IFERROR(__xludf.DUMMYFUNCTION("""COMPUTED_VALUE"""),"Быстрянка. , БСШ")</f>
        <v>Быстрянка. , БСШ</v>
      </c>
      <c r="M7" s="1" t="str">
        <f ca="1">IFERROR(__xludf.DUMMYFUNCTION("""COMPUTED_VALUE"""),"Быстрянка. ")</f>
        <v xml:space="preserve">Быстрянка. </v>
      </c>
      <c r="N7" s="1"/>
      <c r="O7" s="1" t="str">
        <f ca="1">IFERROR(__xludf.DUMMYFUNCTION("""COMPUTED_VALUE"""),"Мясников И. И. ")</f>
        <v xml:space="preserve">Мясников И. И. </v>
      </c>
      <c r="Q7" s="1" t="str">
        <f ca="1">IFERROR(__xludf.DUMMYFUNCTION("""COMPUTED_VALUE"""),"г.Заринск")</f>
        <v>г.Заринск</v>
      </c>
    </row>
    <row r="8" spans="1:19">
      <c r="A8" s="44">
        <f>'Призеры 6'!J14</f>
        <v>0</v>
      </c>
      <c r="B8" s="48">
        <f>'Призеры 6'!K14</f>
        <v>0</v>
      </c>
      <c r="C8" s="1">
        <f ca="1">IFERROR(__xludf.DUMMYFUNCTION("""COMPUTED_VALUE"""),42)</f>
        <v>42</v>
      </c>
      <c r="D8" s="1">
        <f ca="1">IFERROR(__xludf.DUMMYFUNCTION("""COMPUTED_VALUE"""),42)</f>
        <v>42</v>
      </c>
      <c r="E8" s="1"/>
      <c r="F8" s="1">
        <f ca="1">IFERROR(__xludf.DUMMYFUNCTION("""COMPUTED_VALUE"""),1)</f>
        <v>1</v>
      </c>
      <c r="G8" s="1" t="str">
        <f ca="1">IFERROR(__xludf.DUMMYFUNCTION("""COMPUTED_VALUE"""),"КЕНДЮХ Даниил ")</f>
        <v xml:space="preserve">КЕНДЮХ Даниил </v>
      </c>
      <c r="H8" s="1" t="str">
        <f ca="1">IFERROR(__xludf.DUMMYFUNCTION("""COMPUTED_VALUE"""),"КЕНДЮХ Даниил  Сергеевич")</f>
        <v>КЕНДЮХ Даниил  Сергеевич</v>
      </c>
      <c r="I8" s="1" t="str">
        <f ca="1">IFERROR(__xludf.DUMMYFUNCTION("""COMPUTED_VALUE"""),"06.08.10, 1юн")</f>
        <v>06.08.10, 1юн</v>
      </c>
      <c r="J8" s="1" t="str">
        <f ca="1">IFERROR(__xludf.DUMMYFUNCTION("""COMPUTED_VALUE"""),"1юн")</f>
        <v>1юн</v>
      </c>
      <c r="K8" s="1" t="str">
        <f ca="1">IFERROR(__xludf.DUMMYFUNCTION("""COMPUTED_VALUE"""),"СФО")</f>
        <v>СФО</v>
      </c>
      <c r="L8" s="1" t="str">
        <f ca="1">IFERROR(__xludf.DUMMYFUNCTION("""COMPUTED_VALUE"""),"г.Заринск, МАУ спорт")</f>
        <v>г.Заринск, МАУ спорт</v>
      </c>
      <c r="M8" s="1" t="str">
        <f ca="1">IFERROR(__xludf.DUMMYFUNCTION("""COMPUTED_VALUE"""),"г.Заринск")</f>
        <v>г.Заринск</v>
      </c>
      <c r="N8" s="1"/>
      <c r="O8" s="1" t="str">
        <f ca="1">IFERROR(__xludf.DUMMYFUNCTION("""COMPUTED_VALUE"""),"Блинов А.В")</f>
        <v>Блинов А.В</v>
      </c>
      <c r="Q8" s="1" t="str">
        <f ca="1">IFERROR(__xludf.DUMMYFUNCTION("""COMPUTED_VALUE"""),"Шипуново ")</f>
        <v xml:space="preserve">Шипуново </v>
      </c>
    </row>
    <row r="9" spans="1:19">
      <c r="A9" s="44">
        <f>'Призеры 6'!J15</f>
        <v>0</v>
      </c>
      <c r="B9" s="48">
        <f>'Призеры 6'!K15</f>
        <v>0</v>
      </c>
      <c r="C9" s="1">
        <f ca="1">IFERROR(__xludf.DUMMYFUNCTION("""COMPUTED_VALUE"""),42)</f>
        <v>42</v>
      </c>
      <c r="D9" s="1">
        <f ca="1">IFERROR(__xludf.DUMMYFUNCTION("""COMPUTED_VALUE"""),42)</f>
        <v>42</v>
      </c>
      <c r="E9" s="1"/>
      <c r="F9" s="1">
        <f ca="1">IFERROR(__xludf.DUMMYFUNCTION("""COMPUTED_VALUE"""),8)</f>
        <v>8</v>
      </c>
      <c r="G9" s="1" t="str">
        <f ca="1">IFERROR(__xludf.DUMMYFUNCTION("""COMPUTED_VALUE"""),"АРТЮХ Никита")</f>
        <v>АРТЮХ Никита</v>
      </c>
      <c r="H9" s="1" t="str">
        <f ca="1">IFERROR(__xludf.DUMMYFUNCTION("""COMPUTED_VALUE"""),"АРТЮХ Никита Вадимович")</f>
        <v>АРТЮХ Никита Вадимович</v>
      </c>
      <c r="I9" s="1" t="str">
        <f ca="1">IFERROR(__xludf.DUMMYFUNCTION("""COMPUTED_VALUE"""),"12.09.10, 1юн")</f>
        <v>12.09.10, 1юн</v>
      </c>
      <c r="J9" s="1" t="str">
        <f ca="1">IFERROR(__xludf.DUMMYFUNCTION("""COMPUTED_VALUE"""),"1юн")</f>
        <v>1юн</v>
      </c>
      <c r="K9" s="1" t="str">
        <f ca="1">IFERROR(__xludf.DUMMYFUNCTION("""COMPUTED_VALUE"""),"СФО")</f>
        <v>СФО</v>
      </c>
      <c r="L9" s="1" t="str">
        <f ca="1">IFERROR(__xludf.DUMMYFUNCTION("""COMPUTED_VALUE"""),"Шипуново , МКУДО Шипуновская СШ ")</f>
        <v xml:space="preserve">Шипуново , МКУДО Шипуновская СШ </v>
      </c>
      <c r="M9" s="1" t="str">
        <f ca="1">IFERROR(__xludf.DUMMYFUNCTION("""COMPUTED_VALUE"""),"Шипуново ")</f>
        <v xml:space="preserve">Шипуново </v>
      </c>
      <c r="N9" s="1"/>
      <c r="O9" s="1" t="str">
        <f ca="1">IFERROR(__xludf.DUMMYFUNCTION("""COMPUTED_VALUE"""),"Куликов В.М. Курочка Д.В.")</f>
        <v>Куликов В.М. Курочка Д.В.</v>
      </c>
      <c r="Q9" s="1" t="str">
        <f ca="1">IFERROR(__xludf.DUMMYFUNCTION("""COMPUTED_VALUE"""),"Бийск ")</f>
        <v xml:space="preserve">Бийск </v>
      </c>
    </row>
    <row r="10" spans="1:19">
      <c r="A10" s="44">
        <f>'Призеры 6'!J16</f>
        <v>0</v>
      </c>
      <c r="B10" s="48">
        <f>'Призеры 6'!K16</f>
        <v>0</v>
      </c>
      <c r="C10" s="1">
        <f ca="1">IFERROR(__xludf.DUMMYFUNCTION("""COMPUTED_VALUE"""),46)</f>
        <v>46</v>
      </c>
      <c r="D10" s="1">
        <f ca="1">IFERROR(__xludf.DUMMYFUNCTION("""COMPUTED_VALUE"""),46)</f>
        <v>46</v>
      </c>
      <c r="E10" s="1"/>
      <c r="F10" s="1">
        <f ca="1">IFERROR(__xludf.DUMMYFUNCTION("""COMPUTED_VALUE"""),5)</f>
        <v>5</v>
      </c>
      <c r="G10" s="1" t="str">
        <f ca="1">IFERROR(__xludf.DUMMYFUNCTION("""COMPUTED_VALUE"""),"НИКУЛИН  Иван")</f>
        <v>НИКУЛИН  Иван</v>
      </c>
      <c r="H10" s="1" t="str">
        <f ca="1">IFERROR(__xludf.DUMMYFUNCTION("""COMPUTED_VALUE"""),"НИКУЛИН  Иван Максимович")</f>
        <v>НИКУЛИН  Иван Максимович</v>
      </c>
      <c r="I10" s="1" t="str">
        <f ca="1">IFERROR(__xludf.DUMMYFUNCTION("""COMPUTED_VALUE"""),"26.01.11, 2юн")</f>
        <v>26.01.11, 2юн</v>
      </c>
      <c r="J10" s="1" t="str">
        <f ca="1">IFERROR(__xludf.DUMMYFUNCTION("""COMPUTED_VALUE"""),"2юн")</f>
        <v>2юн</v>
      </c>
      <c r="K10" s="1" t="str">
        <f ca="1">IFERROR(__xludf.DUMMYFUNCTION("""COMPUTED_VALUE"""),"СФО")</f>
        <v>СФО</v>
      </c>
      <c r="L10" s="1" t="str">
        <f ca="1">IFERROR(__xludf.DUMMYFUNCTION("""COMPUTED_VALUE"""),"Барнаул, АКОО""КСЕ""ФАВОРИТ""")</f>
        <v>Барнаул, АКОО"КСЕ"ФАВОРИТ"</v>
      </c>
      <c r="M10" s="1" t="str">
        <f ca="1">IFERROR(__xludf.DUMMYFUNCTION("""COMPUTED_VALUE"""),"Барнаул")</f>
        <v>Барнаул</v>
      </c>
      <c r="N10" s="1"/>
      <c r="O10" s="1" t="str">
        <f ca="1">IFERROR(__xludf.DUMMYFUNCTION("""COMPUTED_VALUE"""),"Струфа М.Л.")</f>
        <v>Струфа М.Л.</v>
      </c>
      <c r="Q10" s="1" t="str">
        <f ca="1">IFERROR(__xludf.DUMMYFUNCTION("""COMPUTED_VALUE"""),"г. Змеиногорс ")</f>
        <v xml:space="preserve">г. Змеиногорс </v>
      </c>
    </row>
    <row r="11" spans="1:19">
      <c r="A11" s="49">
        <f>'Призеры 6'!K1</f>
        <v>0</v>
      </c>
      <c r="B11" s="44"/>
      <c r="C11" s="1">
        <f ca="1">IFERROR(__xludf.DUMMYFUNCTION("""COMPUTED_VALUE"""),46)</f>
        <v>46</v>
      </c>
      <c r="D11" s="1">
        <f ca="1">IFERROR(__xludf.DUMMYFUNCTION("""COMPUTED_VALUE"""),46)</f>
        <v>46</v>
      </c>
      <c r="E11" s="1"/>
      <c r="F11" s="1">
        <f ca="1">IFERROR(__xludf.DUMMYFUNCTION("""COMPUTED_VALUE"""),2)</f>
        <v>2</v>
      </c>
      <c r="G11" s="1" t="str">
        <f ca="1">IFERROR(__xludf.DUMMYFUNCTION("""COMPUTED_VALUE"""),"БЕГИНИН Владимир ")</f>
        <v xml:space="preserve">БЕГИНИН Владимир </v>
      </c>
      <c r="H11" s="1" t="str">
        <f ca="1">IFERROR(__xludf.DUMMYFUNCTION("""COMPUTED_VALUE"""),"БЕГИНИН Владимир  Васильевич ")</f>
        <v xml:space="preserve">БЕГИНИН Владимир  Васильевич </v>
      </c>
      <c r="I11" s="1" t="str">
        <f ca="1">IFERROR(__xludf.DUMMYFUNCTION("""COMPUTED_VALUE"""),"21.07.10, 3юн")</f>
        <v>21.07.10, 3юн</v>
      </c>
      <c r="J11" s="1" t="str">
        <f ca="1">IFERROR(__xludf.DUMMYFUNCTION("""COMPUTED_VALUE"""),"3юн")</f>
        <v>3юн</v>
      </c>
      <c r="K11" s="1" t="str">
        <f ca="1">IFERROR(__xludf.DUMMYFUNCTION("""COMPUTED_VALUE"""),"СФО")</f>
        <v>СФО</v>
      </c>
      <c r="L11" s="1" t="str">
        <f ca="1">IFERROR(__xludf.DUMMYFUNCTION("""COMPUTED_VALUE"""),"Барнаул , Алтайский центр самбо")</f>
        <v>Барнаул , Алтайский центр самбо</v>
      </c>
      <c r="M11" s="1" t="str">
        <f ca="1">IFERROR(__xludf.DUMMYFUNCTION("""COMPUTED_VALUE"""),"Барнаул ")</f>
        <v xml:space="preserve">Барнаул </v>
      </c>
      <c r="N11" s="1"/>
      <c r="O11" s="1" t="str">
        <f ca="1">IFERROR(__xludf.DUMMYFUNCTION("""COMPUTED_VALUE"""),"Жданов Владимир Васильевич ")</f>
        <v xml:space="preserve">Жданов Владимир Васильевич </v>
      </c>
      <c r="Q11" s="1" t="str">
        <f ca="1">IFERROR(__xludf.DUMMYFUNCTION("""COMPUTED_VALUE"""),"Заринск")</f>
        <v>Заринск</v>
      </c>
    </row>
    <row r="12" spans="1:19">
      <c r="A12" s="44">
        <f>'Призеры 6'!J18</f>
        <v>0</v>
      </c>
      <c r="B12" s="44"/>
      <c r="C12" s="1">
        <f ca="1">IFERROR(__xludf.DUMMYFUNCTION("""COMPUTED_VALUE"""),46)</f>
        <v>46</v>
      </c>
      <c r="D12" s="1">
        <f ca="1">IFERROR(__xludf.DUMMYFUNCTION("""COMPUTED_VALUE"""),46)</f>
        <v>46</v>
      </c>
      <c r="E12" s="1"/>
      <c r="F12" s="1">
        <f ca="1">IFERROR(__xludf.DUMMYFUNCTION("""COMPUTED_VALUE"""),6)</f>
        <v>6</v>
      </c>
      <c r="G12" s="1" t="str">
        <f ca="1">IFERROR(__xludf.DUMMYFUNCTION("""COMPUTED_VALUE"""),"ЧЕЧУЛИН  Дмитрий ")</f>
        <v xml:space="preserve">ЧЕЧУЛИН  Дмитрий </v>
      </c>
      <c r="H12" s="1" t="str">
        <f ca="1">IFERROR(__xludf.DUMMYFUNCTION("""COMPUTED_VALUE"""),"ЧЕЧУЛИН  Дмитрий  Александрович ")</f>
        <v xml:space="preserve">ЧЕЧУЛИН  Дмитрий  Александрович </v>
      </c>
      <c r="I12" s="1" t="str">
        <f ca="1">IFERROR(__xludf.DUMMYFUNCTION("""COMPUTED_VALUE"""),"30.08.10, 2юн")</f>
        <v>30.08.10, 2юн</v>
      </c>
      <c r="J12" s="1" t="str">
        <f ca="1">IFERROR(__xludf.DUMMYFUNCTION("""COMPUTED_VALUE"""),"2юн")</f>
        <v>2юн</v>
      </c>
      <c r="K12" s="1" t="str">
        <f ca="1">IFERROR(__xludf.DUMMYFUNCTION("""COMPUTED_VALUE"""),"СФО")</f>
        <v>СФО</v>
      </c>
      <c r="L12" s="1" t="str">
        <f ca="1">IFERROR(__xludf.DUMMYFUNCTION("""COMPUTED_VALUE"""),"Барнаул , КСШОР ")</f>
        <v xml:space="preserve">Барнаул , КСШОР </v>
      </c>
      <c r="M12" s="1" t="str">
        <f ca="1">IFERROR(__xludf.DUMMYFUNCTION("""COMPUTED_VALUE"""),"Барнаул ")</f>
        <v xml:space="preserve">Барнаул </v>
      </c>
      <c r="N12" s="1"/>
      <c r="O12" s="1" t="str">
        <f ca="1">IFERROR(__xludf.DUMMYFUNCTION("""COMPUTED_VALUE"""),"Мелихов Р.С. ")</f>
        <v xml:space="preserve">Мелихов Р.С. </v>
      </c>
      <c r="Q12" s="1" t="str">
        <f ca="1">IFERROR(__xludf.DUMMYFUNCTION("""COMPUTED_VALUE"""),"Зональный район")</f>
        <v>Зональный район</v>
      </c>
    </row>
    <row r="13" spans="1:19">
      <c r="A13" s="44">
        <f>'Призеры 6'!J19</f>
        <v>0</v>
      </c>
      <c r="B13" s="44"/>
      <c r="C13" s="1">
        <f ca="1">IFERROR(__xludf.DUMMYFUNCTION("""COMPUTED_VALUE"""),46)</f>
        <v>46</v>
      </c>
      <c r="D13" s="1">
        <f ca="1">IFERROR(__xludf.DUMMYFUNCTION("""COMPUTED_VALUE"""),46)</f>
        <v>46</v>
      </c>
      <c r="E13" s="1"/>
      <c r="F13" s="1">
        <f ca="1">IFERROR(__xludf.DUMMYFUNCTION("""COMPUTED_VALUE"""),15)</f>
        <v>15</v>
      </c>
      <c r="G13" s="1" t="str">
        <f ca="1">IFERROR(__xludf.DUMMYFUNCTION("""COMPUTED_VALUE"""),"ТЮКИН  Иван ")</f>
        <v xml:space="preserve">ТЮКИН  Иван </v>
      </c>
      <c r="H13" s="1" t="str">
        <f ca="1">IFERROR(__xludf.DUMMYFUNCTION("""COMPUTED_VALUE"""),"ТЮКИН  Иван  Сергеевич ")</f>
        <v xml:space="preserve">ТЮКИН  Иван  Сергеевич </v>
      </c>
      <c r="I13" s="1" t="str">
        <f ca="1">IFERROR(__xludf.DUMMYFUNCTION("""COMPUTED_VALUE"""),"09.12.11, 1юн")</f>
        <v>09.12.11, 1юн</v>
      </c>
      <c r="J13" s="1" t="str">
        <f ca="1">IFERROR(__xludf.DUMMYFUNCTION("""COMPUTED_VALUE"""),"1юн")</f>
        <v>1юн</v>
      </c>
      <c r="K13" s="1" t="str">
        <f ca="1">IFERROR(__xludf.DUMMYFUNCTION("""COMPUTED_VALUE"""),"СФО")</f>
        <v>СФО</v>
      </c>
      <c r="L13" s="1" t="str">
        <f ca="1">IFERROR(__xludf.DUMMYFUNCTION("""COMPUTED_VALUE"""),"Барнаул , КСШОР ")</f>
        <v xml:space="preserve">Барнаул , КСШОР </v>
      </c>
      <c r="M13" s="1" t="str">
        <f ca="1">IFERROR(__xludf.DUMMYFUNCTION("""COMPUTED_VALUE"""),"Барнаул ")</f>
        <v xml:space="preserve">Барнаул </v>
      </c>
      <c r="N13" s="1"/>
      <c r="O13" s="1" t="str">
        <f ca="1">IFERROR(__xludf.DUMMYFUNCTION("""COMPUTED_VALUE"""),"Мелихов Р.С. ")</f>
        <v xml:space="preserve">Мелихов Р.С. </v>
      </c>
      <c r="Q13" s="1" t="str">
        <f ca="1">IFERROR(__xludf.DUMMYFUNCTION("""COMPUTED_VALUE"""),"Красногорское")</f>
        <v>Красногорское</v>
      </c>
    </row>
    <row r="14" spans="1:19">
      <c r="A14" s="44">
        <f>'Призеры 6'!J20</f>
        <v>0</v>
      </c>
      <c r="B14" s="44"/>
      <c r="C14" s="1">
        <f ca="1">IFERROR(__xludf.DUMMYFUNCTION("""COMPUTED_VALUE"""),46)</f>
        <v>46</v>
      </c>
      <c r="D14" s="1">
        <f ca="1">IFERROR(__xludf.DUMMYFUNCTION("""COMPUTED_VALUE"""),46)</f>
        <v>46</v>
      </c>
      <c r="E14" s="1"/>
      <c r="F14" s="1">
        <f ca="1">IFERROR(__xludf.DUMMYFUNCTION("""COMPUTED_VALUE"""),9)</f>
        <v>9</v>
      </c>
      <c r="G14" s="1" t="str">
        <f ca="1">IFERROR(__xludf.DUMMYFUNCTION("""COMPUTED_VALUE"""),"МЕЖЕНИН Вячеслав ")</f>
        <v xml:space="preserve">МЕЖЕНИН Вячеслав </v>
      </c>
      <c r="H14" s="1" t="str">
        <f ca="1">IFERROR(__xludf.DUMMYFUNCTION("""COMPUTED_VALUE"""),"МЕЖЕНИН Вячеслав  Михайлович ")</f>
        <v xml:space="preserve">МЕЖЕНИН Вячеслав  Михайлович </v>
      </c>
      <c r="I14" s="1" t="str">
        <f ca="1">IFERROR(__xludf.DUMMYFUNCTION("""COMPUTED_VALUE"""),"02.11.11, 3сп")</f>
        <v>02.11.11, 3сп</v>
      </c>
      <c r="J14" s="1" t="str">
        <f ca="1">IFERROR(__xludf.DUMMYFUNCTION("""COMPUTED_VALUE"""),"3сп")</f>
        <v>3сп</v>
      </c>
      <c r="K14" s="1" t="str">
        <f ca="1">IFERROR(__xludf.DUMMYFUNCTION("""COMPUTED_VALUE"""),"СФО")</f>
        <v>СФО</v>
      </c>
      <c r="L14" s="1" t="str">
        <f ca="1">IFERROR(__xludf.DUMMYFUNCTION("""COMPUTED_VALUE"""),"Бийск , СШОР №3 им.А.Гуляева")</f>
        <v>Бийск , СШОР №3 им.А.Гуляева</v>
      </c>
      <c r="M14" s="1" t="str">
        <f ca="1">IFERROR(__xludf.DUMMYFUNCTION("""COMPUTED_VALUE"""),"Бийск ")</f>
        <v xml:space="preserve">Бийск </v>
      </c>
      <c r="N14" s="1"/>
      <c r="O14" s="1" t="str">
        <f ca="1">IFERROR(__xludf.DUMMYFUNCTION("""COMPUTED_VALUE"""),"Гаврилов В.В., Асадова А.В.")</f>
        <v>Гаврилов В.В., Асадова А.В.</v>
      </c>
      <c r="Q14" s="1" t="str">
        <f ca="1">IFERROR(__xludf.DUMMYFUNCTION("""COMPUTED_VALUE"""),"с. Хабары")</f>
        <v>с. Хабары</v>
      </c>
    </row>
    <row r="15" spans="1:19">
      <c r="A15" s="44">
        <f>'Призеры 6'!J21</f>
        <v>0</v>
      </c>
      <c r="B15" s="44"/>
      <c r="C15" s="1">
        <f ca="1">IFERROR(__xludf.DUMMYFUNCTION("""COMPUTED_VALUE"""),46)</f>
        <v>46</v>
      </c>
      <c r="D15" s="1">
        <f ca="1">IFERROR(__xludf.DUMMYFUNCTION("""COMPUTED_VALUE"""),46)</f>
        <v>46</v>
      </c>
      <c r="E15" s="1"/>
      <c r="F15" s="1">
        <f ca="1">IFERROR(__xludf.DUMMYFUNCTION("""COMPUTED_VALUE"""),12)</f>
        <v>12</v>
      </c>
      <c r="G15" s="1" t="str">
        <f ca="1">IFERROR(__xludf.DUMMYFUNCTION("""COMPUTED_VALUE"""),"БУШ Максим ")</f>
        <v xml:space="preserve">БУШ Максим </v>
      </c>
      <c r="H15" s="1" t="str">
        <f ca="1">IFERROR(__xludf.DUMMYFUNCTION("""COMPUTED_VALUE"""),"БУШ Максим  Романович")</f>
        <v>БУШ Максим  Романович</v>
      </c>
      <c r="I15" s="1" t="str">
        <f ca="1">IFERROR(__xludf.DUMMYFUNCTION("""COMPUTED_VALUE"""),"03.06.10, 1юн")</f>
        <v>03.06.10, 1юн</v>
      </c>
      <c r="J15" s="1" t="str">
        <f ca="1">IFERROR(__xludf.DUMMYFUNCTION("""COMPUTED_VALUE"""),"1юн")</f>
        <v>1юн</v>
      </c>
      <c r="K15" s="1" t="str">
        <f ca="1">IFERROR(__xludf.DUMMYFUNCTION("""COMPUTED_VALUE"""),"СФО")</f>
        <v>СФО</v>
      </c>
      <c r="L15" s="1" t="str">
        <f ca="1">IFERROR(__xludf.DUMMYFUNCTION("""COMPUTED_VALUE"""),"г. Змеиногорс , МБУДО,, Змеиногорская СШ """)</f>
        <v>г. Змеиногорс , МБУДО,, Змеиногорская СШ "</v>
      </c>
      <c r="M15" s="1" t="str">
        <f ca="1">IFERROR(__xludf.DUMMYFUNCTION("""COMPUTED_VALUE"""),"г. Змеиногорс ")</f>
        <v xml:space="preserve">г. Змеиногорс </v>
      </c>
      <c r="N15" s="1"/>
      <c r="O15" s="1" t="str">
        <f ca="1">IFERROR(__xludf.DUMMYFUNCTION("""COMPUTED_VALUE"""),"Ломиворотов Сергей Сергеевич ")</f>
        <v xml:space="preserve">Ломиворотов Сергей Сергеевич </v>
      </c>
      <c r="Q15" s="1" t="str">
        <f ca="1">IFERROR(__xludf.DUMMYFUNCTION("""COMPUTED_VALUE"""),"Санниково")</f>
        <v>Санниково</v>
      </c>
    </row>
    <row r="16" spans="1:19">
      <c r="A16" s="44"/>
      <c r="B16" s="44"/>
      <c r="C16" s="1">
        <f ca="1">IFERROR(__xludf.DUMMYFUNCTION("""COMPUTED_VALUE"""),46)</f>
        <v>46</v>
      </c>
      <c r="D16" s="1">
        <f ca="1">IFERROR(__xludf.DUMMYFUNCTION("""COMPUTED_VALUE"""),46)</f>
        <v>46</v>
      </c>
      <c r="E16" s="1"/>
      <c r="F16" s="1">
        <f ca="1">IFERROR(__xludf.DUMMYFUNCTION("""COMPUTED_VALUE"""),4)</f>
        <v>4</v>
      </c>
      <c r="G16" s="1" t="str">
        <f ca="1">IFERROR(__xludf.DUMMYFUNCTION("""COMPUTED_VALUE"""),"МЕРКУЛОВ Захар")</f>
        <v>МЕРКУЛОВ Захар</v>
      </c>
      <c r="H16" s="1" t="str">
        <f ca="1">IFERROR(__xludf.DUMMYFUNCTION("""COMPUTED_VALUE"""),"МЕРКУЛОВ Захар Константинович")</f>
        <v>МЕРКУЛОВ Захар Константинович</v>
      </c>
      <c r="I16" s="1" t="str">
        <f ca="1">IFERROR(__xludf.DUMMYFUNCTION("""COMPUTED_VALUE"""),"17.08.11, 2юн")</f>
        <v>17.08.11, 2юн</v>
      </c>
      <c r="J16" s="1" t="str">
        <f ca="1">IFERROR(__xludf.DUMMYFUNCTION("""COMPUTED_VALUE"""),"2юн")</f>
        <v>2юн</v>
      </c>
      <c r="K16" s="1" t="str">
        <f ca="1">IFERROR(__xludf.DUMMYFUNCTION("""COMPUTED_VALUE"""),"СФО")</f>
        <v>СФО</v>
      </c>
      <c r="L16" s="1" t="str">
        <f ca="1">IFERROR(__xludf.DUMMYFUNCTION("""COMPUTED_VALUE"""),"Заринск, СК ""Метеор+""")</f>
        <v>Заринск, СК "Метеор+"</v>
      </c>
      <c r="M16" s="1" t="str">
        <f ca="1">IFERROR(__xludf.DUMMYFUNCTION("""COMPUTED_VALUE"""),"Заринск")</f>
        <v>Заринск</v>
      </c>
      <c r="N16" s="1"/>
      <c r="O16" s="1" t="str">
        <f ca="1">IFERROR(__xludf.DUMMYFUNCTION("""COMPUTED_VALUE"""),"Казанцев А. Е., Казанцева Л. С")</f>
        <v>Казанцев А. Е., Казанцева Л. С</v>
      </c>
      <c r="Q16" s="1" t="str">
        <f ca="1">IFERROR(__xludf.DUMMYFUNCTION("""COMPUTED_VALUE"""),"Славгород ")</f>
        <v xml:space="preserve">Славгород </v>
      </c>
    </row>
    <row r="17" spans="1:17">
      <c r="A17" s="44"/>
      <c r="B17" s="44"/>
      <c r="C17" s="1">
        <f ca="1">IFERROR(__xludf.DUMMYFUNCTION("""COMPUTED_VALUE"""),46)</f>
        <v>46</v>
      </c>
      <c r="D17" s="1">
        <f ca="1">IFERROR(__xludf.DUMMYFUNCTION("""COMPUTED_VALUE"""),46)</f>
        <v>46</v>
      </c>
      <c r="E17" s="1"/>
      <c r="F17" s="1">
        <f ca="1">IFERROR(__xludf.DUMMYFUNCTION("""COMPUTED_VALUE"""),8)</f>
        <v>8</v>
      </c>
      <c r="G17" s="1" t="str">
        <f ca="1">IFERROR(__xludf.DUMMYFUNCTION("""COMPUTED_VALUE"""),"ГОЛОВИЗИН Матвей")</f>
        <v>ГОЛОВИЗИН Матвей</v>
      </c>
      <c r="H17" s="1" t="str">
        <f ca="1">IFERROR(__xludf.DUMMYFUNCTION("""COMPUTED_VALUE"""),"ГОЛОВИЗИН Матвей Викторович")</f>
        <v>ГОЛОВИЗИН Матвей Викторович</v>
      </c>
      <c r="I17" s="1" t="str">
        <f ca="1">IFERROR(__xludf.DUMMYFUNCTION("""COMPUTED_VALUE"""),"08.08.10, 1юн")</f>
        <v>08.08.10, 1юн</v>
      </c>
      <c r="J17" s="1" t="str">
        <f ca="1">IFERROR(__xludf.DUMMYFUNCTION("""COMPUTED_VALUE"""),"1юн")</f>
        <v>1юн</v>
      </c>
      <c r="K17" s="1" t="str">
        <f ca="1">IFERROR(__xludf.DUMMYFUNCTION("""COMPUTED_VALUE"""),"СФО")</f>
        <v>СФО</v>
      </c>
      <c r="L17" s="1" t="str">
        <f ca="1">IFERROR(__xludf.DUMMYFUNCTION("""COMPUTED_VALUE"""),"Заринск, МАУ СПОРТ")</f>
        <v>Заринск, МАУ СПОРТ</v>
      </c>
      <c r="M17" s="1" t="str">
        <f ca="1">IFERROR(__xludf.DUMMYFUNCTION("""COMPUTED_VALUE"""),"Заринск")</f>
        <v>Заринск</v>
      </c>
      <c r="N17" s="1"/>
      <c r="O17" s="1" t="str">
        <f ca="1">IFERROR(__xludf.DUMMYFUNCTION("""COMPUTED_VALUE"""),"Блинов А.В")</f>
        <v>Блинов А.В</v>
      </c>
      <c r="Q17" s="1" t="str">
        <f ca="1">IFERROR(__xludf.DUMMYFUNCTION("""COMPUTED_VALUE"""),"Табуны")</f>
        <v>Табуны</v>
      </c>
    </row>
    <row r="18" spans="1:17">
      <c r="A18" s="44"/>
      <c r="B18" s="44"/>
      <c r="C18" s="1">
        <f ca="1">IFERROR(__xludf.DUMMYFUNCTION("""COMPUTED_VALUE"""),46)</f>
        <v>46</v>
      </c>
      <c r="D18" s="1">
        <f ca="1">IFERROR(__xludf.DUMMYFUNCTION("""COMPUTED_VALUE"""),46)</f>
        <v>46</v>
      </c>
      <c r="E18" s="1"/>
      <c r="F18" s="1">
        <f ca="1">IFERROR(__xludf.DUMMYFUNCTION("""COMPUTED_VALUE"""),14)</f>
        <v>14</v>
      </c>
      <c r="G18" s="1" t="str">
        <f ca="1">IFERROR(__xludf.DUMMYFUNCTION("""COMPUTED_VALUE"""),"НЕСТЕРЕНКО  Матвей ")</f>
        <v xml:space="preserve">НЕСТЕРЕНКО  Матвей </v>
      </c>
      <c r="H18" s="1" t="str">
        <f ca="1">IFERROR(__xludf.DUMMYFUNCTION("""COMPUTED_VALUE"""),"НЕСТЕРЕНКО  Матвей  Максимович")</f>
        <v>НЕСТЕРЕНКО  Матвей  Максимович</v>
      </c>
      <c r="I18" s="1" t="str">
        <f ca="1">IFERROR(__xludf.DUMMYFUNCTION("""COMPUTED_VALUE"""),"10.01.11, 1юн")</f>
        <v>10.01.11, 1юн</v>
      </c>
      <c r="J18" s="1" t="str">
        <f ca="1">IFERROR(__xludf.DUMMYFUNCTION("""COMPUTED_VALUE"""),"1юн")</f>
        <v>1юн</v>
      </c>
      <c r="K18" s="1" t="str">
        <f ca="1">IFERROR(__xludf.DUMMYFUNCTION("""COMPUTED_VALUE"""),"СФО")</f>
        <v>СФО</v>
      </c>
      <c r="L18" s="1" t="str">
        <f ca="1">IFERROR(__xludf.DUMMYFUNCTION("""COMPUTED_VALUE"""),"Заринск, МАУ СОШ ")</f>
        <v xml:space="preserve">Заринск, МАУ СОШ </v>
      </c>
      <c r="M18" s="1" t="str">
        <f ca="1">IFERROR(__xludf.DUMMYFUNCTION("""COMPUTED_VALUE"""),"Заринск")</f>
        <v>Заринск</v>
      </c>
      <c r="N18" s="1"/>
      <c r="O18" s="1" t="str">
        <f ca="1">IFERROR(__xludf.DUMMYFUNCTION("""COMPUTED_VALUE"""),"Блинов Александр Викторович ")</f>
        <v xml:space="preserve">Блинов Александр Викторович </v>
      </c>
      <c r="Q18" s="1" t="str">
        <f ca="1">IFERROR(__xludf.DUMMYFUNCTION("""COMPUTED_VALUE"""),"Зпвьялово")</f>
        <v>Зпвьялово</v>
      </c>
    </row>
    <row r="19" spans="1:17">
      <c r="A19" s="44"/>
      <c r="B19" s="44"/>
      <c r="C19" s="1">
        <f ca="1">IFERROR(__xludf.DUMMYFUNCTION("""COMPUTED_VALUE"""),46)</f>
        <v>46</v>
      </c>
      <c r="D19" s="1">
        <f ca="1">IFERROR(__xludf.DUMMYFUNCTION("""COMPUTED_VALUE"""),46)</f>
        <v>46</v>
      </c>
      <c r="E19" s="1"/>
      <c r="F19" s="1">
        <f ca="1">IFERROR(__xludf.DUMMYFUNCTION("""COMPUTED_VALUE"""),13)</f>
        <v>13</v>
      </c>
      <c r="G19" s="1" t="str">
        <f ca="1">IFERROR(__xludf.DUMMYFUNCTION("""COMPUTED_VALUE"""),"ПРИМАК Михаил")</f>
        <v>ПРИМАК Михаил</v>
      </c>
      <c r="H19" s="1" t="str">
        <f ca="1">IFERROR(__xludf.DUMMYFUNCTION("""COMPUTED_VALUE"""),"ПРИМАК Михаил Алексеевич")</f>
        <v>ПРИМАК Михаил Алексеевич</v>
      </c>
      <c r="I19" s="1" t="str">
        <f ca="1">IFERROR(__xludf.DUMMYFUNCTION("""COMPUTED_VALUE"""),"21.10.10, 2юн")</f>
        <v>21.10.10, 2юн</v>
      </c>
      <c r="J19" s="1" t="str">
        <f ca="1">IFERROR(__xludf.DUMMYFUNCTION("""COMPUTED_VALUE"""),"2юн")</f>
        <v>2юн</v>
      </c>
      <c r="K19" s="1" t="str">
        <f ca="1">IFERROR(__xludf.DUMMYFUNCTION("""COMPUTED_VALUE"""),"СФО")</f>
        <v>СФО</v>
      </c>
      <c r="L19" s="1" t="str">
        <f ca="1">IFERROR(__xludf.DUMMYFUNCTION("""COMPUTED_VALUE"""),"Зональный район, Зональная ДЮСШ")</f>
        <v>Зональный район, Зональная ДЮСШ</v>
      </c>
      <c r="M19" s="1" t="str">
        <f ca="1">IFERROR(__xludf.DUMMYFUNCTION("""COMPUTED_VALUE"""),"Зональный район")</f>
        <v>Зональный район</v>
      </c>
      <c r="N19" s="1"/>
      <c r="O19" s="1" t="str">
        <f ca="1">IFERROR(__xludf.DUMMYFUNCTION("""COMPUTED_VALUE"""),"Шуликов Е.С. Шуликов А.С.")</f>
        <v>Шуликов Е.С. Шуликов А.С.</v>
      </c>
      <c r="Q19" s="1" t="str">
        <f ca="1">IFERROR(__xludf.DUMMYFUNCTION("""COMPUTED_VALUE"""),"Завьяло")</f>
        <v>Завьяло</v>
      </c>
    </row>
    <row r="20" spans="1:17">
      <c r="A20" s="44"/>
      <c r="B20" s="44"/>
      <c r="C20" s="1">
        <f ca="1">IFERROR(__xludf.DUMMYFUNCTION("""COMPUTED_VALUE"""),46)</f>
        <v>46</v>
      </c>
      <c r="D20" s="1">
        <f ca="1">IFERROR(__xludf.DUMMYFUNCTION("""COMPUTED_VALUE"""),46)</f>
        <v>46</v>
      </c>
      <c r="E20" s="1"/>
      <c r="F20" s="1">
        <f ca="1">IFERROR(__xludf.DUMMYFUNCTION("""COMPUTED_VALUE"""),7)</f>
        <v>7</v>
      </c>
      <c r="G20" s="1" t="str">
        <f ca="1">IFERROR(__xludf.DUMMYFUNCTION("""COMPUTED_VALUE"""),"БУЙНЕШОВ Артем")</f>
        <v>БУЙНЕШОВ Артем</v>
      </c>
      <c r="H20" s="1" t="str">
        <f ca="1">IFERROR(__xludf.DUMMYFUNCTION("""COMPUTED_VALUE"""),"БУЙНЕШОВ Артем Николаевич")</f>
        <v>БУЙНЕШОВ Артем Николаевич</v>
      </c>
      <c r="I20" s="1" t="str">
        <f ca="1">IFERROR(__xludf.DUMMYFUNCTION("""COMPUTED_VALUE"""),"17.08.10, 2юн")</f>
        <v>17.08.10, 2юн</v>
      </c>
      <c r="J20" s="1" t="str">
        <f ca="1">IFERROR(__xludf.DUMMYFUNCTION("""COMPUTED_VALUE"""),"2юн")</f>
        <v>2юн</v>
      </c>
      <c r="K20" s="1" t="str">
        <f ca="1">IFERROR(__xludf.DUMMYFUNCTION("""COMPUTED_VALUE"""),"СФО")</f>
        <v>СФО</v>
      </c>
      <c r="L20" s="1" t="str">
        <f ca="1">IFERROR(__xludf.DUMMYFUNCTION("""COMPUTED_VALUE"""),"Красногорское, МБУ ДО СШ Виктория")</f>
        <v>Красногорское, МБУ ДО СШ Виктория</v>
      </c>
      <c r="M20" s="1" t="str">
        <f ca="1">IFERROR(__xludf.DUMMYFUNCTION("""COMPUTED_VALUE"""),"Красногорское")</f>
        <v>Красногорское</v>
      </c>
      <c r="N20" s="1"/>
      <c r="O20" s="1" t="str">
        <f ca="1">IFERROR(__xludf.DUMMYFUNCTION("""COMPUTED_VALUE"""),"Тебереков Г. И. Политов К. В. ")</f>
        <v xml:space="preserve">Тебереков Г. И. Политов К. В. </v>
      </c>
      <c r="Q20" s="1" t="str">
        <f ca="1">IFERROR(__xludf.DUMMYFUNCTION("""COMPUTED_VALUE"""),"Мамонтово")</f>
        <v>Мамонтово</v>
      </c>
    </row>
    <row r="21" spans="1:17">
      <c r="A21" s="44"/>
      <c r="B21" s="44"/>
      <c r="C21" s="1">
        <f ca="1">IFERROR(__xludf.DUMMYFUNCTION("""COMPUTED_VALUE"""),46)</f>
        <v>46</v>
      </c>
      <c r="D21" s="1">
        <f ca="1">IFERROR(__xludf.DUMMYFUNCTION("""COMPUTED_VALUE"""),46)</f>
        <v>46</v>
      </c>
      <c r="E21" s="1"/>
      <c r="F21" s="1">
        <f ca="1">IFERROR(__xludf.DUMMYFUNCTION("""COMPUTED_VALUE"""),3)</f>
        <v>3</v>
      </c>
      <c r="G21" s="1" t="str">
        <f ca="1">IFERROR(__xludf.DUMMYFUNCTION("""COMPUTED_VALUE"""),"ЛОГИНОВ Артем")</f>
        <v>ЛОГИНОВ Артем</v>
      </c>
      <c r="H21" s="1" t="str">
        <f ca="1">IFERROR(__xludf.DUMMYFUNCTION("""COMPUTED_VALUE"""),"ЛОГИНОВ Артем Андреевич")</f>
        <v>ЛОГИНОВ Артем Андреевич</v>
      </c>
      <c r="I21" s="1" t="str">
        <f ca="1">IFERROR(__xludf.DUMMYFUNCTION("""COMPUTED_VALUE"""),"05.07.10, 1юн")</f>
        <v>05.07.10, 1юн</v>
      </c>
      <c r="J21" s="1" t="str">
        <f ca="1">IFERROR(__xludf.DUMMYFUNCTION("""COMPUTED_VALUE"""),"1юн")</f>
        <v>1юн</v>
      </c>
      <c r="K21" s="1" t="str">
        <f ca="1">IFERROR(__xludf.DUMMYFUNCTION("""COMPUTED_VALUE"""),"СФО")</f>
        <v>СФО</v>
      </c>
      <c r="L21" s="1" t="str">
        <f ca="1">IFERROR(__xludf.DUMMYFUNCTION("""COMPUTED_VALUE"""),"с. Хабары, МБУ ДО ""СШ ХАБАРСКОГО РАЙОНА""")</f>
        <v>с. Хабары, МБУ ДО "СШ ХАБАРСКОГО РАЙОНА"</v>
      </c>
      <c r="M21" s="1" t="str">
        <f ca="1">IFERROR(__xludf.DUMMYFUNCTION("""COMPUTED_VALUE"""),"с. Хабары")</f>
        <v>с. Хабары</v>
      </c>
      <c r="N21" s="1"/>
      <c r="O21" s="1" t="str">
        <f ca="1">IFERROR(__xludf.DUMMYFUNCTION("""COMPUTED_VALUE"""),"Горюнов А.А.")</f>
        <v>Горюнов А.А.</v>
      </c>
      <c r="Q21" s="1" t="str">
        <f ca="1">IFERROR(__xludf.DUMMYFUNCTION("""COMPUTED_VALUE"""),"Завьялово")</f>
        <v>Завьялово</v>
      </c>
    </row>
    <row r="22" spans="1:17">
      <c r="A22" s="44"/>
      <c r="B22" s="44"/>
      <c r="C22" s="1">
        <f ca="1">IFERROR(__xludf.DUMMYFUNCTION("""COMPUTED_VALUE"""),46)</f>
        <v>46</v>
      </c>
      <c r="D22" s="1">
        <f ca="1">IFERROR(__xludf.DUMMYFUNCTION("""COMPUTED_VALUE"""),46)</f>
        <v>46</v>
      </c>
      <c r="E22" s="1"/>
      <c r="F22" s="1">
        <f ca="1">IFERROR(__xludf.DUMMYFUNCTION("""COMPUTED_VALUE"""),11)</f>
        <v>11</v>
      </c>
      <c r="G22" s="1" t="str">
        <f ca="1">IFERROR(__xludf.DUMMYFUNCTION("""COMPUTED_VALUE"""),"МУРАВЬËВ  Алексей ")</f>
        <v xml:space="preserve">МУРАВЬËВ  Алексей </v>
      </c>
      <c r="H22" s="1" t="str">
        <f ca="1">IFERROR(__xludf.DUMMYFUNCTION("""COMPUTED_VALUE"""),"МУРАВЬËВ  Алексей  Евгеньевич")</f>
        <v>МУРАВЬËВ  Алексей  Евгеньевич</v>
      </c>
      <c r="I22" s="1" t="str">
        <f ca="1">IFERROR(__xludf.DUMMYFUNCTION("""COMPUTED_VALUE"""),"14.11.10, 2юн")</f>
        <v>14.11.10, 2юн</v>
      </c>
      <c r="J22" s="1" t="str">
        <f ca="1">IFERROR(__xludf.DUMMYFUNCTION("""COMPUTED_VALUE"""),"2юн")</f>
        <v>2юн</v>
      </c>
      <c r="K22" s="1" t="str">
        <f ca="1">IFERROR(__xludf.DUMMYFUNCTION("""COMPUTED_VALUE"""),"СФО")</f>
        <v>СФО</v>
      </c>
      <c r="L22" s="1" t="str">
        <f ca="1">IFERROR(__xludf.DUMMYFUNCTION("""COMPUTED_VALUE"""),"Санниково, ДЮСШ Первомайского района")</f>
        <v>Санниково, ДЮСШ Первомайского района</v>
      </c>
      <c r="M22" s="1" t="str">
        <f ca="1">IFERROR(__xludf.DUMMYFUNCTION("""COMPUTED_VALUE"""),"Санниково")</f>
        <v>Санниково</v>
      </c>
      <c r="N22" s="1"/>
      <c r="O22" s="1" t="str">
        <f ca="1">IFERROR(__xludf.DUMMYFUNCTION("""COMPUTED_VALUE"""),"Таскин А.Ю.")</f>
        <v>Таскин А.Ю.</v>
      </c>
      <c r="Q22" s="1" t="str">
        <f ca="1">IFERROR(__xludf.DUMMYFUNCTION("""COMPUTED_VALUE"""),"Тальменка")</f>
        <v>Тальменка</v>
      </c>
    </row>
    <row r="23" spans="1:17">
      <c r="A23" s="44"/>
      <c r="B23" s="44"/>
      <c r="C23" s="1">
        <f ca="1">IFERROR(__xludf.DUMMYFUNCTION("""COMPUTED_VALUE"""),46)</f>
        <v>46</v>
      </c>
      <c r="D23" s="1">
        <f ca="1">IFERROR(__xludf.DUMMYFUNCTION("""COMPUTED_VALUE"""),46)</f>
        <v>46</v>
      </c>
      <c r="E23" s="1"/>
      <c r="F23" s="1">
        <f ca="1">IFERROR(__xludf.DUMMYFUNCTION("""COMPUTED_VALUE"""),1)</f>
        <v>1</v>
      </c>
      <c r="G23" s="1" t="str">
        <f ca="1">IFERROR(__xludf.DUMMYFUNCTION("""COMPUTED_VALUE"""),"ФИЛИПП  Никита ")</f>
        <v xml:space="preserve">ФИЛИПП  Никита </v>
      </c>
      <c r="H23" s="1" t="str">
        <f ca="1">IFERROR(__xludf.DUMMYFUNCTION("""COMPUTED_VALUE"""),"ФИЛИПП  Никита  Сергеевич ")</f>
        <v xml:space="preserve">ФИЛИПП  Никита  Сергеевич </v>
      </c>
      <c r="I23" s="1" t="str">
        <f ca="1">IFERROR(__xludf.DUMMYFUNCTION("""COMPUTED_VALUE"""),"10.02.09, 1юн")</f>
        <v>10.02.09, 1юн</v>
      </c>
      <c r="J23" s="1" t="str">
        <f ca="1">IFERROR(__xludf.DUMMYFUNCTION("""COMPUTED_VALUE"""),"1юн")</f>
        <v>1юн</v>
      </c>
      <c r="K23" s="1" t="str">
        <f ca="1">IFERROR(__xludf.DUMMYFUNCTION("""COMPUTED_VALUE"""),"СФО")</f>
        <v>СФО</v>
      </c>
      <c r="L23" s="1" t="str">
        <f ca="1">IFERROR(__xludf.DUMMYFUNCTION("""COMPUTED_VALUE"""),"Славгород , МБУ ДО СШ ЦВПВ ДЕСАНТНИК ")</f>
        <v xml:space="preserve">Славгород , МБУ ДО СШ ЦВПВ ДЕСАНТНИК </v>
      </c>
      <c r="M23" s="1" t="str">
        <f ca="1">IFERROR(__xludf.DUMMYFUNCTION("""COMPUTED_VALUE"""),"Славгород ")</f>
        <v xml:space="preserve">Славгород </v>
      </c>
      <c r="N23" s="1"/>
      <c r="O23" s="1" t="str">
        <f ca="1">IFERROR(__xludf.DUMMYFUNCTION("""COMPUTED_VALUE"""),"Дмитриев Валерий Дмитриевич ")</f>
        <v xml:space="preserve">Дмитриев Валерий Дмитриевич </v>
      </c>
      <c r="Q23" s="1" t="str">
        <f ca="1">IFERROR(__xludf.DUMMYFUNCTION("""COMPUTED_VALUE"""),"Алтайское ")</f>
        <v xml:space="preserve">Алтайское </v>
      </c>
    </row>
    <row r="24" spans="1:17">
      <c r="A24" s="44"/>
      <c r="B24" s="44"/>
      <c r="C24" s="1">
        <f ca="1">IFERROR(__xludf.DUMMYFUNCTION("""COMPUTED_VALUE"""),46)</f>
        <v>46</v>
      </c>
      <c r="D24" s="1">
        <f ca="1">IFERROR(__xludf.DUMMYFUNCTION("""COMPUTED_VALUE"""),46)</f>
        <v>46</v>
      </c>
      <c r="E24" s="1"/>
      <c r="F24" s="1">
        <f ca="1">IFERROR(__xludf.DUMMYFUNCTION("""COMPUTED_VALUE"""),10)</f>
        <v>10</v>
      </c>
      <c r="G24" s="1" t="str">
        <f ca="1">IFERROR(__xludf.DUMMYFUNCTION("""COMPUTED_VALUE"""),"БОБКОВ Роман")</f>
        <v>БОБКОВ Роман</v>
      </c>
      <c r="H24" s="1" t="str">
        <f ca="1">IFERROR(__xludf.DUMMYFUNCTION("""COMPUTED_VALUE"""),"БОБКОВ Роман Константинович ")</f>
        <v xml:space="preserve">БОБКОВ Роман Константинович </v>
      </c>
      <c r="I24" s="1" t="str">
        <f ca="1">IFERROR(__xludf.DUMMYFUNCTION("""COMPUTED_VALUE"""),"13.12.11, 1юн")</f>
        <v>13.12.11, 1юн</v>
      </c>
      <c r="J24" s="1" t="str">
        <f ca="1">IFERROR(__xludf.DUMMYFUNCTION("""COMPUTED_VALUE"""),"1юн")</f>
        <v>1юн</v>
      </c>
      <c r="K24" s="1" t="str">
        <f ca="1">IFERROR(__xludf.DUMMYFUNCTION("""COMPUTED_VALUE"""),"СФО")</f>
        <v>СФО</v>
      </c>
      <c r="L24" s="1" t="str">
        <f ca="1">IFERROR(__xludf.DUMMYFUNCTION("""COMPUTED_VALUE"""),"Шипуново , МКУДО Шипуновская СШ ")</f>
        <v xml:space="preserve">Шипуново , МКУДО Шипуновская СШ </v>
      </c>
      <c r="M24" s="1" t="str">
        <f ca="1">IFERROR(__xludf.DUMMYFUNCTION("""COMPUTED_VALUE"""),"Шипуново ")</f>
        <v xml:space="preserve">Шипуново </v>
      </c>
      <c r="N24" s="1"/>
      <c r="O24" s="1" t="str">
        <f ca="1">IFERROR(__xludf.DUMMYFUNCTION("""COMPUTED_VALUE"""),"Курочка Д.В. Куликов В.М.")</f>
        <v>Курочка Д.В. Куликов В.М.</v>
      </c>
      <c r="Q24" s="1" t="str">
        <f ca="1">IFERROR(__xludf.DUMMYFUNCTION("""COMPUTED_VALUE"""),"р.п. Благовещенка")</f>
        <v>р.п. Благовещенка</v>
      </c>
    </row>
    <row r="25" spans="1:17">
      <c r="A25" s="44"/>
      <c r="B25" s="44"/>
      <c r="C25" s="1">
        <f ca="1">IFERROR(__xludf.DUMMYFUNCTION("""COMPUTED_VALUE"""),49)</f>
        <v>49</v>
      </c>
      <c r="D25" s="1">
        <f ca="1">IFERROR(__xludf.DUMMYFUNCTION("""COMPUTED_VALUE"""),49)</f>
        <v>49</v>
      </c>
      <c r="E25" s="1"/>
      <c r="F25" s="1">
        <f ca="1">IFERROR(__xludf.DUMMYFUNCTION("""COMPUTED_VALUE"""),1)</f>
        <v>1</v>
      </c>
      <c r="G25" s="1" t="str">
        <f ca="1">IFERROR(__xludf.DUMMYFUNCTION("""COMPUTED_VALUE"""),"СМОЛЯКОВ Роман")</f>
        <v>СМОЛЯКОВ Роман</v>
      </c>
      <c r="H25" s="1" t="str">
        <f ca="1">IFERROR(__xludf.DUMMYFUNCTION("""COMPUTED_VALUE"""),"СМОЛЯКОВ Роман Юрьевич")</f>
        <v>СМОЛЯКОВ Роман Юрьевич</v>
      </c>
      <c r="I25" s="1" t="str">
        <f ca="1">IFERROR(__xludf.DUMMYFUNCTION("""COMPUTED_VALUE"""),"16.10.09, 2сп")</f>
        <v>16.10.09, 2сп</v>
      </c>
      <c r="J25" s="1" t="str">
        <f ca="1">IFERROR(__xludf.DUMMYFUNCTION("""COMPUTED_VALUE"""),"2сп")</f>
        <v>2сп</v>
      </c>
      <c r="K25" s="1" t="str">
        <f ca="1">IFERROR(__xludf.DUMMYFUNCTION("""COMPUTED_VALUE"""),"СФО")</f>
        <v>СФО</v>
      </c>
      <c r="L25" s="1" t="str">
        <f ca="1">IFERROR(__xludf.DUMMYFUNCTION("""COMPUTED_VALUE"""),"Шипуново , Шипуновская ДЮСШ ")</f>
        <v xml:space="preserve">Шипуново , Шипуновская ДЮСШ </v>
      </c>
      <c r="M25" s="1" t="str">
        <f ca="1">IFERROR(__xludf.DUMMYFUNCTION("""COMPUTED_VALUE"""),"Шипуново ")</f>
        <v xml:space="preserve">Шипуново </v>
      </c>
      <c r="N25" s="1"/>
      <c r="O25" s="1" t="str">
        <f ca="1">IFERROR(__xludf.DUMMYFUNCTION("""COMPUTED_VALUE"""),"Куликов В.М. Курочка Д.В.")</f>
        <v>Куликов В.М. Курочка Д.В.</v>
      </c>
      <c r="Q25" s="1" t="str">
        <f ca="1">IFERROR(__xludf.DUMMYFUNCTION("""COMPUTED_VALUE"""),"Алейск")</f>
        <v>Алейск</v>
      </c>
    </row>
    <row r="26" spans="1:17">
      <c r="A26" s="44"/>
      <c r="B26" s="44"/>
      <c r="C26" s="1">
        <f ca="1">IFERROR(__xludf.DUMMYFUNCTION("""COMPUTED_VALUE"""),49)</f>
        <v>49</v>
      </c>
      <c r="D26" s="1">
        <f ca="1">IFERROR(__xludf.DUMMYFUNCTION("""COMPUTED_VALUE"""),49)</f>
        <v>49</v>
      </c>
      <c r="E26" s="1"/>
      <c r="F26" s="1">
        <f ca="1">IFERROR(__xludf.DUMMYFUNCTION("""COMPUTED_VALUE"""),3)</f>
        <v>3</v>
      </c>
      <c r="G26" s="1" t="str">
        <f ca="1">IFERROR(__xludf.DUMMYFUNCTION("""COMPUTED_VALUE"""),"ЗАЙЦЕВ  Глеб ")</f>
        <v xml:space="preserve">ЗАЙЦЕВ  Глеб </v>
      </c>
      <c r="H26" s="1" t="str">
        <f ca="1">IFERROR(__xludf.DUMMYFUNCTION("""COMPUTED_VALUE"""),"ЗАЙЦЕВ  Глеб  Артемович ")</f>
        <v xml:space="preserve">ЗАЙЦЕВ  Глеб  Артемович </v>
      </c>
      <c r="I26" s="1" t="str">
        <f ca="1">IFERROR(__xludf.DUMMYFUNCTION("""COMPUTED_VALUE"""),"24.08.11, 3юн")</f>
        <v>24.08.11, 3юн</v>
      </c>
      <c r="J26" s="1" t="str">
        <f ca="1">IFERROR(__xludf.DUMMYFUNCTION("""COMPUTED_VALUE"""),"3юн")</f>
        <v>3юн</v>
      </c>
      <c r="K26" s="1" t="str">
        <f ca="1">IFERROR(__xludf.DUMMYFUNCTION("""COMPUTED_VALUE"""),"СФО")</f>
        <v>СФО</v>
      </c>
      <c r="L26" s="1" t="str">
        <f ca="1">IFERROR(__xludf.DUMMYFUNCTION("""COMPUTED_VALUE"""),"Табуны, МБУ ДО ТСШ ")</f>
        <v xml:space="preserve">Табуны, МБУ ДО ТСШ </v>
      </c>
      <c r="M26" s="1" t="str">
        <f ca="1">IFERROR(__xludf.DUMMYFUNCTION("""COMPUTED_VALUE"""),"Табуны")</f>
        <v>Табуны</v>
      </c>
      <c r="N26" s="1"/>
      <c r="O26" s="1" t="str">
        <f ca="1">IFERROR(__xludf.DUMMYFUNCTION("""COMPUTED_VALUE"""),"Буханцев А.Д.")</f>
        <v>Буханцев А.Д.</v>
      </c>
      <c r="Q26" s="1" t="str">
        <f ca="1">IFERROR(__xludf.DUMMYFUNCTION("""COMPUTED_VALUE"""),"Благовещенка")</f>
        <v>Благовещенка</v>
      </c>
    </row>
    <row r="27" spans="1:17">
      <c r="A27" s="44"/>
      <c r="B27" s="44"/>
      <c r="C27" s="1">
        <f ca="1">IFERROR(__xludf.DUMMYFUNCTION("""COMPUTED_VALUE"""),49)</f>
        <v>49</v>
      </c>
      <c r="D27" s="1">
        <f ca="1">IFERROR(__xludf.DUMMYFUNCTION("""COMPUTED_VALUE"""),49)</f>
        <v>49</v>
      </c>
      <c r="E27" s="1"/>
      <c r="F27" s="1">
        <f ca="1">IFERROR(__xludf.DUMMYFUNCTION("""COMPUTED_VALUE"""),4)</f>
        <v>4</v>
      </c>
      <c r="G27" s="1" t="str">
        <f ca="1">IFERROR(__xludf.DUMMYFUNCTION("""COMPUTED_VALUE"""),"КОПЫТИН Роман")</f>
        <v>КОПЫТИН Роман</v>
      </c>
      <c r="H27" s="1" t="str">
        <f ca="1">IFERROR(__xludf.DUMMYFUNCTION("""COMPUTED_VALUE"""),"КОПЫТИН Роман Константиновис")</f>
        <v>КОПЫТИН Роман Константиновис</v>
      </c>
      <c r="I27" s="1" t="str">
        <f ca="1">IFERROR(__xludf.DUMMYFUNCTION("""COMPUTED_VALUE"""),"03.11.11, 3юн")</f>
        <v>03.11.11, 3юн</v>
      </c>
      <c r="J27" s="1" t="str">
        <f ca="1">IFERROR(__xludf.DUMMYFUNCTION("""COMPUTED_VALUE"""),"3юн")</f>
        <v>3юн</v>
      </c>
      <c r="K27" s="1" t="str">
        <f ca="1">IFERROR(__xludf.DUMMYFUNCTION("""COMPUTED_VALUE"""),"СФО")</f>
        <v>СФО</v>
      </c>
      <c r="L27" s="1" t="str">
        <f ca="1">IFERROR(__xludf.DUMMYFUNCTION("""COMPUTED_VALUE"""),"Зпвьялово, СШ сЗавьялово")</f>
        <v>Зпвьялово, СШ сЗавьялово</v>
      </c>
      <c r="M27" s="1" t="str">
        <f ca="1">IFERROR(__xludf.DUMMYFUNCTION("""COMPUTED_VALUE"""),"Зпвьялово")</f>
        <v>Зпвьялово</v>
      </c>
      <c r="N27" s="1"/>
      <c r="O27" s="1" t="str">
        <f ca="1">IFERROR(__xludf.DUMMYFUNCTION("""COMPUTED_VALUE"""),"Ганжа К Н")</f>
        <v>Ганжа К Н</v>
      </c>
      <c r="Q27" s="1" t="str">
        <f ca="1">IFERROR(__xludf.DUMMYFUNCTION("""COMPUTED_VALUE"""),"Зональный Район")</f>
        <v>Зональный Район</v>
      </c>
    </row>
    <row r="28" spans="1:17">
      <c r="A28" s="44"/>
      <c r="B28" s="44"/>
      <c r="C28" s="1">
        <f ca="1">IFERROR(__xludf.DUMMYFUNCTION("""COMPUTED_VALUE"""),49)</f>
        <v>49</v>
      </c>
      <c r="D28" s="1">
        <f ca="1">IFERROR(__xludf.DUMMYFUNCTION("""COMPUTED_VALUE"""),49)</f>
        <v>49</v>
      </c>
      <c r="E28" s="1"/>
      <c r="F28" s="1">
        <f ca="1">IFERROR(__xludf.DUMMYFUNCTION("""COMPUTED_VALUE"""),5)</f>
        <v>5</v>
      </c>
      <c r="G28" s="1" t="str">
        <f ca="1">IFERROR(__xludf.DUMMYFUNCTION("""COMPUTED_VALUE"""),"ВОЗОВИКОВ  Дмитрий ")</f>
        <v xml:space="preserve">ВОЗОВИКОВ  Дмитрий </v>
      </c>
      <c r="H28" s="1" t="str">
        <f ca="1">IFERROR(__xludf.DUMMYFUNCTION("""COMPUTED_VALUE"""),"ВОЗОВИКОВ  Дмитрий  Юрьевич")</f>
        <v>ВОЗОВИКОВ  Дмитрий  Юрьевич</v>
      </c>
      <c r="I28" s="1" t="str">
        <f ca="1">IFERROR(__xludf.DUMMYFUNCTION("""COMPUTED_VALUE"""),"20.08.09, 1юн")</f>
        <v>20.08.09, 1юн</v>
      </c>
      <c r="J28" s="1" t="str">
        <f ca="1">IFERROR(__xludf.DUMMYFUNCTION("""COMPUTED_VALUE"""),"1юн")</f>
        <v>1юн</v>
      </c>
      <c r="K28" s="1" t="str">
        <f ca="1">IFERROR(__xludf.DUMMYFUNCTION("""COMPUTED_VALUE"""),"СФО")</f>
        <v>СФО</v>
      </c>
      <c r="L28" s="1" t="str">
        <f ca="1">IFERROR(__xludf.DUMMYFUNCTION("""COMPUTED_VALUE"""),"Бийск , СШОР №3 им.А.Гуляева")</f>
        <v>Бийск , СШОР №3 им.А.Гуляева</v>
      </c>
      <c r="M28" s="1" t="str">
        <f ca="1">IFERROR(__xludf.DUMMYFUNCTION("""COMPUTED_VALUE"""),"Бийск ")</f>
        <v xml:space="preserve">Бийск </v>
      </c>
      <c r="N28" s="1"/>
      <c r="O28" s="1" t="str">
        <f ca="1">IFERROR(__xludf.DUMMYFUNCTION("""COMPUTED_VALUE"""),"Теренин П.В., Кайгородов О.С.")</f>
        <v>Теренин П.В., Кайгородов О.С.</v>
      </c>
      <c r="Q28" s="1" t="str">
        <f ca="1">IFERROR(__xludf.DUMMYFUNCTION("""COMPUTED_VALUE"""),"Шипуново")</f>
        <v>Шипуново</v>
      </c>
    </row>
    <row r="29" spans="1:17">
      <c r="A29" s="44"/>
      <c r="B29" s="44"/>
      <c r="C29" s="1">
        <f ca="1">IFERROR(__xludf.DUMMYFUNCTION("""COMPUTED_VALUE"""),49)</f>
        <v>49</v>
      </c>
      <c r="D29" s="1">
        <f ca="1">IFERROR(__xludf.DUMMYFUNCTION("""COMPUTED_VALUE"""),49)</f>
        <v>49</v>
      </c>
      <c r="E29" s="1"/>
      <c r="F29" s="1">
        <f ca="1">IFERROR(__xludf.DUMMYFUNCTION("""COMPUTED_VALUE"""),6)</f>
        <v>6</v>
      </c>
      <c r="G29" s="1" t="str">
        <f ca="1">IFERROR(__xludf.DUMMYFUNCTION("""COMPUTED_VALUE"""),"АЛТУХОВ  Ярослав ")</f>
        <v xml:space="preserve">АЛТУХОВ  Ярослав </v>
      </c>
      <c r="H29" s="1" t="str">
        <f ca="1">IFERROR(__xludf.DUMMYFUNCTION("""COMPUTED_VALUE"""),"АЛТУХОВ  Ярослав  Данилович ")</f>
        <v xml:space="preserve">АЛТУХОВ  Ярослав  Данилович </v>
      </c>
      <c r="I29" s="1" t="str">
        <f ca="1">IFERROR(__xludf.DUMMYFUNCTION("""COMPUTED_VALUE"""),"19.09.11, 1юн")</f>
        <v>19.09.11, 1юн</v>
      </c>
      <c r="J29" s="1" t="str">
        <f ca="1">IFERROR(__xludf.DUMMYFUNCTION("""COMPUTED_VALUE"""),"1юн")</f>
        <v>1юн</v>
      </c>
      <c r="K29" s="1" t="str">
        <f ca="1">IFERROR(__xludf.DUMMYFUNCTION("""COMPUTED_VALUE"""),"СФО")</f>
        <v>СФО</v>
      </c>
      <c r="L29" s="1" t="str">
        <f ca="1">IFERROR(__xludf.DUMMYFUNCTION("""COMPUTED_VALUE"""),"Барнаул , КСШОР ")</f>
        <v xml:space="preserve">Барнаул , КСШОР </v>
      </c>
      <c r="M29" s="1" t="str">
        <f ca="1">IFERROR(__xludf.DUMMYFUNCTION("""COMPUTED_VALUE"""),"Барнаул ")</f>
        <v xml:space="preserve">Барнаул </v>
      </c>
      <c r="N29" s="1"/>
      <c r="O29" s="1" t="str">
        <f ca="1">IFERROR(__xludf.DUMMYFUNCTION("""COMPUTED_VALUE"""),"Хоружев А.И. ")</f>
        <v xml:space="preserve">Хоружев А.И. </v>
      </c>
      <c r="Q29" s="1" t="str">
        <f ca="1">IFERROR(__xludf.DUMMYFUNCTION("""COMPUTED_VALUE"""),"Благовещенка ")</f>
        <v xml:space="preserve">Благовещенка </v>
      </c>
    </row>
    <row r="30" spans="1:17">
      <c r="A30" s="44"/>
      <c r="B30" s="44"/>
      <c r="C30" s="1">
        <f ca="1">IFERROR(__xludf.DUMMYFUNCTION("""COMPUTED_VALUE"""),49)</f>
        <v>49</v>
      </c>
      <c r="D30" s="1">
        <f ca="1">IFERROR(__xludf.DUMMYFUNCTION("""COMPUTED_VALUE"""),49)</f>
        <v>49</v>
      </c>
      <c r="E30" s="1"/>
      <c r="F30" s="1">
        <f ca="1">IFERROR(__xludf.DUMMYFUNCTION("""COMPUTED_VALUE"""),7)</f>
        <v>7</v>
      </c>
      <c r="G30" s="1" t="str">
        <f ca="1">IFERROR(__xludf.DUMMYFUNCTION("""COMPUTED_VALUE"""),"СОБОЛЕВ Александр ")</f>
        <v xml:space="preserve">СОБОЛЕВ Александр </v>
      </c>
      <c r="H30" s="1" t="str">
        <f ca="1">IFERROR(__xludf.DUMMYFUNCTION("""COMPUTED_VALUE"""),"СОБОЛЕВ Александр  .")</f>
        <v>СОБОЛЕВ Александр  .</v>
      </c>
      <c r="I30" s="1" t="str">
        <f ca="1">IFERROR(__xludf.DUMMYFUNCTION("""COMPUTED_VALUE"""),"20.03.10, 3юн")</f>
        <v>20.03.10, 3юн</v>
      </c>
      <c r="J30" s="1" t="str">
        <f ca="1">IFERROR(__xludf.DUMMYFUNCTION("""COMPUTED_VALUE"""),"3юн")</f>
        <v>3юн</v>
      </c>
      <c r="K30" s="1" t="str">
        <f ca="1">IFERROR(__xludf.DUMMYFUNCTION("""COMPUTED_VALUE"""),"СФО")</f>
        <v>СФО</v>
      </c>
      <c r="L30" s="1" t="str">
        <f ca="1">IFERROR(__xludf.DUMMYFUNCTION("""COMPUTED_VALUE"""),"Бийск , СШОР №3 им.А.Гуляева")</f>
        <v>Бийск , СШОР №3 им.А.Гуляева</v>
      </c>
      <c r="M30" s="1" t="str">
        <f ca="1">IFERROR(__xludf.DUMMYFUNCTION("""COMPUTED_VALUE"""),"Бийск ")</f>
        <v xml:space="preserve">Бийск </v>
      </c>
      <c r="N30" s="1"/>
      <c r="O30" s="1" t="str">
        <f ca="1">IFERROR(__xludf.DUMMYFUNCTION("""COMPUTED_VALUE"""),"Гаврилов В.В., Асадова А.В.")</f>
        <v>Гаврилов В.В., Асадова А.В.</v>
      </c>
      <c r="Q30" s="1" t="str">
        <f ca="1">IFERROR(__xludf.DUMMYFUNCTION("""COMPUTED_VALUE"""),"Рп.тальменка ")</f>
        <v xml:space="preserve">Рп.тальменка </v>
      </c>
    </row>
    <row r="31" spans="1:17">
      <c r="A31" s="44"/>
      <c r="B31" s="44"/>
      <c r="C31" s="1">
        <f ca="1">IFERROR(__xludf.DUMMYFUNCTION("""COMPUTED_VALUE"""),49)</f>
        <v>49</v>
      </c>
      <c r="D31" s="1">
        <f ca="1">IFERROR(__xludf.DUMMYFUNCTION("""COMPUTED_VALUE"""),49)</f>
        <v>49</v>
      </c>
      <c r="E31" s="1"/>
      <c r="F31" s="1">
        <f ca="1">IFERROR(__xludf.DUMMYFUNCTION("""COMPUTED_VALUE"""),8)</f>
        <v>8</v>
      </c>
      <c r="G31" s="1" t="str">
        <f ca="1">IFERROR(__xludf.DUMMYFUNCTION("""COMPUTED_VALUE"""),"ФЕДОСОВ Илья")</f>
        <v>ФЕДОСОВ Илья</v>
      </c>
      <c r="H31" s="1" t="str">
        <f ca="1">IFERROR(__xludf.DUMMYFUNCTION("""COMPUTED_VALUE"""),"ФЕДОСОВ Илья Владимирович")</f>
        <v>ФЕДОСОВ Илья Владимирович</v>
      </c>
      <c r="I31" s="1" t="str">
        <f ca="1">IFERROR(__xludf.DUMMYFUNCTION("""COMPUTED_VALUE"""),"12.01.11, 1юн")</f>
        <v>12.01.11, 1юн</v>
      </c>
      <c r="J31" s="1" t="str">
        <f ca="1">IFERROR(__xludf.DUMMYFUNCTION("""COMPUTED_VALUE"""),"1юн")</f>
        <v>1юн</v>
      </c>
      <c r="K31" s="1" t="str">
        <f ca="1">IFERROR(__xludf.DUMMYFUNCTION("""COMPUTED_VALUE"""),"СФО")</f>
        <v>СФО</v>
      </c>
      <c r="L31" s="1" t="str">
        <f ca="1">IFERROR(__xludf.DUMMYFUNCTION("""COMPUTED_VALUE"""),"Заринск, МАУ СПОРТ")</f>
        <v>Заринск, МАУ СПОРТ</v>
      </c>
      <c r="M31" s="1" t="str">
        <f ca="1">IFERROR(__xludf.DUMMYFUNCTION("""COMPUTED_VALUE"""),"Заринск")</f>
        <v>Заринск</v>
      </c>
      <c r="N31" s="1"/>
      <c r="O31" s="1" t="str">
        <f ca="1">IFERROR(__xludf.DUMMYFUNCTION("""COMPUTED_VALUE"""),"Блинов А.В.")</f>
        <v>Блинов А.В.</v>
      </c>
      <c r="Q31" s="1" t="str">
        <f ca="1">IFERROR(__xludf.DUMMYFUNCTION("""COMPUTED_VALUE"""),"р.п Благовещенка")</f>
        <v>р.п Благовещенка</v>
      </c>
    </row>
    <row r="32" spans="1:17">
      <c r="A32" s="44"/>
      <c r="B32" s="44"/>
      <c r="C32" s="1">
        <f ca="1">IFERROR(__xludf.DUMMYFUNCTION("""COMPUTED_VALUE"""),49)</f>
        <v>49</v>
      </c>
      <c r="D32" s="1">
        <f ca="1">IFERROR(__xludf.DUMMYFUNCTION("""COMPUTED_VALUE"""),49)</f>
        <v>49</v>
      </c>
      <c r="E32" s="1"/>
      <c r="F32" s="1">
        <f ca="1">IFERROR(__xludf.DUMMYFUNCTION("""COMPUTED_VALUE"""),9)</f>
        <v>9</v>
      </c>
      <c r="G32" s="1" t="str">
        <f ca="1">IFERROR(__xludf.DUMMYFUNCTION("""COMPUTED_VALUE"""),"КАМАЕВ Илья")</f>
        <v>КАМАЕВ Илья</v>
      </c>
      <c r="H32" s="1" t="str">
        <f ca="1">IFERROR(__xludf.DUMMYFUNCTION("""COMPUTED_VALUE"""),"КАМАЕВ Илья Алексеевич")</f>
        <v>КАМАЕВ Илья Алексеевич</v>
      </c>
      <c r="I32" s="1" t="str">
        <f ca="1">IFERROR(__xludf.DUMMYFUNCTION("""COMPUTED_VALUE"""),"11.04.11, 2юн")</f>
        <v>11.04.11, 2юн</v>
      </c>
      <c r="J32" s="1" t="str">
        <f ca="1">IFERROR(__xludf.DUMMYFUNCTION("""COMPUTED_VALUE"""),"2юн")</f>
        <v>2юн</v>
      </c>
      <c r="K32" s="1" t="str">
        <f ca="1">IFERROR(__xludf.DUMMYFUNCTION("""COMPUTED_VALUE"""),"СФО")</f>
        <v>СФО</v>
      </c>
      <c r="L32" s="1" t="str">
        <f ca="1">IFERROR(__xludf.DUMMYFUNCTION("""COMPUTED_VALUE"""),"Зональный район, Зональная ДЮСШ")</f>
        <v>Зональный район, Зональная ДЮСШ</v>
      </c>
      <c r="M32" s="1" t="str">
        <f ca="1">IFERROR(__xludf.DUMMYFUNCTION("""COMPUTED_VALUE"""),"Зональный район")</f>
        <v>Зональный район</v>
      </c>
      <c r="N32" s="1"/>
      <c r="O32" s="1" t="str">
        <f ca="1">IFERROR(__xludf.DUMMYFUNCTION("""COMPUTED_VALUE"""),"Шуликов Е.С.,Шуликов А.С.")</f>
        <v>Шуликов Е.С.,Шуликов А.С.</v>
      </c>
      <c r="Q32" s="1" t="str">
        <f ca="1">IFERROR(__xludf.DUMMYFUNCTION("""COMPUTED_VALUE"""),"Смоленский район")</f>
        <v>Смоленский район</v>
      </c>
    </row>
    <row r="33" spans="1:17">
      <c r="A33" s="44"/>
      <c r="B33" s="44"/>
      <c r="C33" s="1">
        <f ca="1">IFERROR(__xludf.DUMMYFUNCTION("""COMPUTED_VALUE"""),49)</f>
        <v>49</v>
      </c>
      <c r="D33" s="1">
        <f ca="1">IFERROR(__xludf.DUMMYFUNCTION("""COMPUTED_VALUE"""),49)</f>
        <v>49</v>
      </c>
      <c r="E33" s="1"/>
      <c r="F33" s="1">
        <f ca="1">IFERROR(__xludf.DUMMYFUNCTION("""COMPUTED_VALUE"""),10)</f>
        <v>10</v>
      </c>
      <c r="G33" s="1" t="str">
        <f ca="1">IFERROR(__xludf.DUMMYFUNCTION("""COMPUTED_VALUE"""),"ЧЕРТОВКИХ Кирилл")</f>
        <v>ЧЕРТОВКИХ Кирилл</v>
      </c>
      <c r="H33" s="1" t="str">
        <f ca="1">IFERROR(__xludf.DUMMYFUNCTION("""COMPUTED_VALUE"""),"ЧЕРТОВКИХ Кирилл Олегович")</f>
        <v>ЧЕРТОВКИХ Кирилл Олегович</v>
      </c>
      <c r="I33" s="1" t="str">
        <f ca="1">IFERROR(__xludf.DUMMYFUNCTION("""COMPUTED_VALUE"""),"23.09.11, 2юн")</f>
        <v>23.09.11, 2юн</v>
      </c>
      <c r="J33" s="1" t="str">
        <f ca="1">IFERROR(__xludf.DUMMYFUNCTION("""COMPUTED_VALUE"""),"2юн")</f>
        <v>2юн</v>
      </c>
      <c r="K33" s="1" t="str">
        <f ca="1">IFERROR(__xludf.DUMMYFUNCTION("""COMPUTED_VALUE"""),"СФО")</f>
        <v>СФО</v>
      </c>
      <c r="L33" s="1" t="str">
        <f ca="1">IFERROR(__xludf.DUMMYFUNCTION("""COMPUTED_VALUE"""),"Заринск, СК ""Метеор+""")</f>
        <v>Заринск, СК "Метеор+"</v>
      </c>
      <c r="M33" s="1" t="str">
        <f ca="1">IFERROR(__xludf.DUMMYFUNCTION("""COMPUTED_VALUE"""),"Заринск")</f>
        <v>Заринск</v>
      </c>
      <c r="N33" s="1"/>
      <c r="O33" s="1" t="str">
        <f ca="1">IFERROR(__xludf.DUMMYFUNCTION("""COMPUTED_VALUE"""),"Казанцев А. Е., Казанцева Л. С.")</f>
        <v>Казанцев А. Е., Казанцева Л. С.</v>
      </c>
      <c r="Q33" s="1" t="str">
        <f ca="1">IFERROR(__xludf.DUMMYFUNCTION("""COMPUTED_VALUE"""),"Р. П. Благовещенка")</f>
        <v>Р. П. Благовещенка</v>
      </c>
    </row>
    <row r="34" spans="1:17">
      <c r="A34" s="44"/>
      <c r="B34" s="44"/>
      <c r="C34" s="1">
        <f ca="1">IFERROR(__xludf.DUMMYFUNCTION("""COMPUTED_VALUE"""),49)</f>
        <v>49</v>
      </c>
      <c r="D34" s="1">
        <f ca="1">IFERROR(__xludf.DUMMYFUNCTION("""COMPUTED_VALUE"""),49)</f>
        <v>49</v>
      </c>
      <c r="E34" s="1"/>
      <c r="F34" s="1">
        <f ca="1">IFERROR(__xludf.DUMMYFUNCTION("""COMPUTED_VALUE"""),11)</f>
        <v>11</v>
      </c>
      <c r="G34" s="1" t="str">
        <f ca="1">IFERROR(__xludf.DUMMYFUNCTION("""COMPUTED_VALUE"""),"САРТАКОВ Денис")</f>
        <v>САРТАКОВ Денис</v>
      </c>
      <c r="H34" s="1" t="str">
        <f ca="1">IFERROR(__xludf.DUMMYFUNCTION("""COMPUTED_VALUE"""),"САРТАКОВ Денис Сергеевич ")</f>
        <v xml:space="preserve">САРТАКОВ Денис Сергеевич </v>
      </c>
      <c r="I34" s="1" t="str">
        <f ca="1">IFERROR(__xludf.DUMMYFUNCTION("""COMPUTED_VALUE"""),"28.06.11, 1юн")</f>
        <v>28.06.11, 1юн</v>
      </c>
      <c r="J34" s="1" t="str">
        <f ca="1">IFERROR(__xludf.DUMMYFUNCTION("""COMPUTED_VALUE"""),"1юн")</f>
        <v>1юн</v>
      </c>
      <c r="K34" s="1" t="str">
        <f ca="1">IFERROR(__xludf.DUMMYFUNCTION("""COMPUTED_VALUE"""),"СФО")</f>
        <v>СФО</v>
      </c>
      <c r="L34" s="1" t="str">
        <f ca="1">IFERROR(__xludf.DUMMYFUNCTION("""COMPUTED_VALUE"""),"Барнаул, Центр самбо")</f>
        <v>Барнаул, Центр самбо</v>
      </c>
      <c r="M34" s="1" t="str">
        <f ca="1">IFERROR(__xludf.DUMMYFUNCTION("""COMPUTED_VALUE"""),"Барнаул")</f>
        <v>Барнаул</v>
      </c>
      <c r="N34" s="1"/>
      <c r="O34" s="1" t="str">
        <f ca="1">IFERROR(__xludf.DUMMYFUNCTION("""COMPUTED_VALUE"""),"Жданов Владимир Васильевич")</f>
        <v>Жданов Владимир Васильевич</v>
      </c>
      <c r="Q34" s="1" t="str">
        <f ca="1">IFERROR(__xludf.DUMMYFUNCTION("""COMPUTED_VALUE"""),"Алтайский")</f>
        <v>Алтайский</v>
      </c>
    </row>
    <row r="35" spans="1:17">
      <c r="A35" s="44"/>
      <c r="B35" s="44"/>
      <c r="C35" s="1">
        <f ca="1">IFERROR(__xludf.DUMMYFUNCTION("""COMPUTED_VALUE"""),49)</f>
        <v>49</v>
      </c>
      <c r="D35" s="1">
        <f ca="1">IFERROR(__xludf.DUMMYFUNCTION("""COMPUTED_VALUE"""),49)</f>
        <v>49</v>
      </c>
      <c r="E35" s="1"/>
      <c r="F35" s="1">
        <f ca="1">IFERROR(__xludf.DUMMYFUNCTION("""COMPUTED_VALUE"""),12)</f>
        <v>12</v>
      </c>
      <c r="G35" s="1" t="str">
        <f ca="1">IFERROR(__xludf.DUMMYFUNCTION("""COMPUTED_VALUE"""),"КАШИН Станислав")</f>
        <v>КАШИН Станислав</v>
      </c>
      <c r="H35" s="1" t="str">
        <f ca="1">IFERROR(__xludf.DUMMYFUNCTION("""COMPUTED_VALUE"""),"КАШИН Станислав Анатольевич")</f>
        <v>КАШИН Станислав Анатольевич</v>
      </c>
      <c r="I35" s="1" t="str">
        <f ca="1">IFERROR(__xludf.DUMMYFUNCTION("""COMPUTED_VALUE"""),"31.10.09, 2юн")</f>
        <v>31.10.09, 2юн</v>
      </c>
      <c r="J35" s="1" t="str">
        <f ca="1">IFERROR(__xludf.DUMMYFUNCTION("""COMPUTED_VALUE"""),"2юн")</f>
        <v>2юн</v>
      </c>
      <c r="K35" s="1" t="str">
        <f ca="1">IFERROR(__xludf.DUMMYFUNCTION("""COMPUTED_VALUE"""),"СФО")</f>
        <v>СФО</v>
      </c>
      <c r="L35" s="1" t="str">
        <f ca="1">IFERROR(__xludf.DUMMYFUNCTION("""COMPUTED_VALUE"""),"Красногорское, МБУ ДО СШ Виктория")</f>
        <v>Красногорское, МБУ ДО СШ Виктория</v>
      </c>
      <c r="M35" s="1" t="str">
        <f ca="1">IFERROR(__xludf.DUMMYFUNCTION("""COMPUTED_VALUE"""),"Красногорское")</f>
        <v>Красногорское</v>
      </c>
      <c r="N35" s="1"/>
      <c r="O35" s="1" t="str">
        <f ca="1">IFERROR(__xludf.DUMMYFUNCTION("""COMPUTED_VALUE"""),"Тебереков Г. И. Политов К. В. ")</f>
        <v xml:space="preserve">Тебереков Г. И. Политов К. В. </v>
      </c>
      <c r="Q35" s="1" t="str">
        <f ca="1">IFERROR(__xludf.DUMMYFUNCTION("""COMPUTED_VALUE"""),"Новосибирская")</f>
        <v>Новосибирская</v>
      </c>
    </row>
    <row r="36" spans="1:17">
      <c r="A36" s="44"/>
      <c r="B36" s="44"/>
      <c r="C36" s="1">
        <f ca="1">IFERROR(__xludf.DUMMYFUNCTION("""COMPUTED_VALUE"""),49)</f>
        <v>49</v>
      </c>
      <c r="D36" s="1">
        <f ca="1">IFERROR(__xludf.DUMMYFUNCTION("""COMPUTED_VALUE"""),49)</f>
        <v>49</v>
      </c>
      <c r="E36" s="1"/>
      <c r="F36" s="1">
        <f ca="1">IFERROR(__xludf.DUMMYFUNCTION("""COMPUTED_VALUE"""),2)</f>
        <v>2</v>
      </c>
      <c r="G36" s="1" t="str">
        <f ca="1">IFERROR(__xludf.DUMMYFUNCTION("""COMPUTED_VALUE"""),"ГУРИН Ярослав")</f>
        <v>ГУРИН Ярослав</v>
      </c>
      <c r="H36" s="1" t="str">
        <f ca="1">IFERROR(__xludf.DUMMYFUNCTION("""COMPUTED_VALUE"""),"ГУРИН Ярослав Александрович")</f>
        <v>ГУРИН Ярослав Александрович</v>
      </c>
      <c r="I36" s="1" t="str">
        <f ca="1">IFERROR(__xludf.DUMMYFUNCTION("""COMPUTED_VALUE"""),"02.01.10, 3сп")</f>
        <v>02.01.10, 3сп</v>
      </c>
      <c r="J36" s="1" t="str">
        <f ca="1">IFERROR(__xludf.DUMMYFUNCTION("""COMPUTED_VALUE"""),"3сп")</f>
        <v>3сп</v>
      </c>
      <c r="K36" s="1" t="str">
        <f ca="1">IFERROR(__xludf.DUMMYFUNCTION("""COMPUTED_VALUE"""),"СФО")</f>
        <v>СФО</v>
      </c>
      <c r="L36" s="1" t="str">
        <f ca="1">IFERROR(__xludf.DUMMYFUNCTION("""COMPUTED_VALUE"""),"Заринск, СК ""Метеор+""")</f>
        <v>Заринск, СК "Метеор+"</v>
      </c>
      <c r="M36" s="1" t="str">
        <f ca="1">IFERROR(__xludf.DUMMYFUNCTION("""COMPUTED_VALUE"""),"Заринск")</f>
        <v>Заринск</v>
      </c>
      <c r="N36" s="1"/>
      <c r="O36" s="1" t="str">
        <f ca="1">IFERROR(__xludf.DUMMYFUNCTION("""COMPUTED_VALUE"""),"Казанцев А. Е., Казанцева Л. С")</f>
        <v>Казанцев А. Е., Казанцева Л. С</v>
      </c>
      <c r="Q36" s="1" t="str">
        <f ca="1">IFERROR(__xludf.DUMMYFUNCTION("""COMPUTED_VALUE"""),"Р.Бурятия")</f>
        <v>Р.Бурятия</v>
      </c>
    </row>
    <row r="37" spans="1:17">
      <c r="A37" s="44"/>
      <c r="B37" s="44"/>
      <c r="C37" s="1">
        <f ca="1">IFERROR(__xludf.DUMMYFUNCTION("""COMPUTED_VALUE"""),53)</f>
        <v>53</v>
      </c>
      <c r="D37" s="1">
        <f ca="1">IFERROR(__xludf.DUMMYFUNCTION("""COMPUTED_VALUE"""),53)</f>
        <v>53</v>
      </c>
      <c r="E37" s="1"/>
      <c r="F37" s="1">
        <f ca="1">IFERROR(__xludf.DUMMYFUNCTION("""COMPUTED_VALUE"""),1)</f>
        <v>1</v>
      </c>
      <c r="G37" s="1" t="str">
        <f ca="1">IFERROR(__xludf.DUMMYFUNCTION("""COMPUTED_VALUE"""),"УРБАХ Олнг")</f>
        <v>УРБАХ Олнг</v>
      </c>
      <c r="H37" s="1" t="str">
        <f ca="1">IFERROR(__xludf.DUMMYFUNCTION("""COMPUTED_VALUE"""),"УРБАХ Олнг Андреевич")</f>
        <v>УРБАХ Олнг Андреевич</v>
      </c>
      <c r="I37" s="1" t="str">
        <f ca="1">IFERROR(__xludf.DUMMYFUNCTION("""COMPUTED_VALUE"""),"13.10.10, 3юн")</f>
        <v>13.10.10, 3юн</v>
      </c>
      <c r="J37" s="1" t="str">
        <f ca="1">IFERROR(__xludf.DUMMYFUNCTION("""COMPUTED_VALUE"""),"3юн")</f>
        <v>3юн</v>
      </c>
      <c r="K37" s="1" t="str">
        <f ca="1">IFERROR(__xludf.DUMMYFUNCTION("""COMPUTED_VALUE"""),"СФО")</f>
        <v>СФО</v>
      </c>
      <c r="L37" s="1" t="str">
        <f ca="1">IFERROR(__xludf.DUMMYFUNCTION("""COMPUTED_VALUE"""),"Завьяло, СШ с Завьялово")</f>
        <v>Завьяло, СШ с Завьялово</v>
      </c>
      <c r="M37" s="1" t="str">
        <f ca="1">IFERROR(__xludf.DUMMYFUNCTION("""COMPUTED_VALUE"""),"Завьяло")</f>
        <v>Завьяло</v>
      </c>
      <c r="N37" s="1"/>
      <c r="O37" s="1" t="str">
        <f ca="1">IFERROR(__xludf.DUMMYFUNCTION("""COMPUTED_VALUE"""),"Ганжа К Н")</f>
        <v>Ганжа К Н</v>
      </c>
      <c r="Q37" s="1" t="str">
        <f ca="1">IFERROR(__xludf.DUMMYFUNCTION("""COMPUTED_VALUE"""),"Пермский")</f>
        <v>Пермский</v>
      </c>
    </row>
    <row r="38" spans="1:17">
      <c r="A38" s="44"/>
      <c r="B38" s="44"/>
      <c r="C38" s="1">
        <f ca="1">IFERROR(__xludf.DUMMYFUNCTION("""COMPUTED_VALUE"""),53)</f>
        <v>53</v>
      </c>
      <c r="D38" s="1">
        <f ca="1">IFERROR(__xludf.DUMMYFUNCTION("""COMPUTED_VALUE"""),53)</f>
        <v>53</v>
      </c>
      <c r="E38" s="1"/>
      <c r="F38" s="1">
        <f ca="1">IFERROR(__xludf.DUMMYFUNCTION("""COMPUTED_VALUE"""),2)</f>
        <v>2</v>
      </c>
      <c r="G38" s="1" t="str">
        <f ca="1">IFERROR(__xludf.DUMMYFUNCTION("""COMPUTED_VALUE"""),"ЛЮК  Герман ")</f>
        <v xml:space="preserve">ЛЮК  Герман </v>
      </c>
      <c r="H38" s="1" t="str">
        <f ca="1">IFERROR(__xludf.DUMMYFUNCTION("""COMPUTED_VALUE"""),"ЛЮК  Герман  Александрович ")</f>
        <v xml:space="preserve">ЛЮК  Герман  Александрович </v>
      </c>
      <c r="I38" s="1" t="str">
        <f ca="1">IFERROR(__xludf.DUMMYFUNCTION("""COMPUTED_VALUE"""),"11.06.10, 1юн")</f>
        <v>11.06.10, 1юн</v>
      </c>
      <c r="J38" s="1" t="str">
        <f ca="1">IFERROR(__xludf.DUMMYFUNCTION("""COMPUTED_VALUE"""),"1юн")</f>
        <v>1юн</v>
      </c>
      <c r="K38" s="1" t="str">
        <f ca="1">IFERROR(__xludf.DUMMYFUNCTION("""COMPUTED_VALUE"""),"СФО")</f>
        <v>СФО</v>
      </c>
      <c r="L38" s="1" t="str">
        <f ca="1">IFERROR(__xludf.DUMMYFUNCTION("""COMPUTED_VALUE"""),"Барнаул , КСШОР ")</f>
        <v xml:space="preserve">Барнаул , КСШОР </v>
      </c>
      <c r="M38" s="1" t="str">
        <f ca="1">IFERROR(__xludf.DUMMYFUNCTION("""COMPUTED_VALUE"""),"Барнаул ")</f>
        <v xml:space="preserve">Барнаул </v>
      </c>
      <c r="N38" s="1"/>
      <c r="O38" s="1" t="str">
        <f ca="1">IFERROR(__xludf.DUMMYFUNCTION("""COMPUTED_VALUE"""),"Хоружев А.И. ")</f>
        <v xml:space="preserve">Хоружев А.И. </v>
      </c>
      <c r="Q38" s="1" t="str">
        <f ca="1">IFERROR(__xludf.DUMMYFUNCTION("""COMPUTED_VALUE"""),"Красноярский")</f>
        <v>Красноярский</v>
      </c>
    </row>
    <row r="39" spans="1:17">
      <c r="A39" s="44"/>
      <c r="B39" s="44"/>
      <c r="C39" s="1">
        <f ca="1">IFERROR(__xludf.DUMMYFUNCTION("""COMPUTED_VALUE"""),53)</f>
        <v>53</v>
      </c>
      <c r="D39" s="1">
        <f ca="1">IFERROR(__xludf.DUMMYFUNCTION("""COMPUTED_VALUE"""),53)</f>
        <v>53</v>
      </c>
      <c r="E39" s="1"/>
      <c r="F39" s="1">
        <f ca="1">IFERROR(__xludf.DUMMYFUNCTION("""COMPUTED_VALUE"""),3)</f>
        <v>3</v>
      </c>
      <c r="G39" s="1" t="str">
        <f ca="1">IFERROR(__xludf.DUMMYFUNCTION("""COMPUTED_VALUE"""),"СТОЛБОВ Максим")</f>
        <v>СТОЛБОВ Максим</v>
      </c>
      <c r="H39" s="1" t="str">
        <f ca="1">IFERROR(__xludf.DUMMYFUNCTION("""COMPUTED_VALUE"""),"СТОЛБОВ Максим Степанович")</f>
        <v>СТОЛБОВ Максим Степанович</v>
      </c>
      <c r="I39" s="1" t="str">
        <f ca="1">IFERROR(__xludf.DUMMYFUNCTION("""COMPUTED_VALUE"""),"30.09.11, 3юн")</f>
        <v>30.09.11, 3юн</v>
      </c>
      <c r="J39" s="1" t="str">
        <f ca="1">IFERROR(__xludf.DUMMYFUNCTION("""COMPUTED_VALUE"""),"3юн")</f>
        <v>3юн</v>
      </c>
      <c r="K39" s="1" t="str">
        <f ca="1">IFERROR(__xludf.DUMMYFUNCTION("""COMPUTED_VALUE"""),"СФО")</f>
        <v>СФО</v>
      </c>
      <c r="L39" s="1" t="str">
        <f ca="1">IFERROR(__xludf.DUMMYFUNCTION("""COMPUTED_VALUE"""),"Зональный район, ДЮСШ")</f>
        <v>Зональный район, ДЮСШ</v>
      </c>
      <c r="M39" s="1" t="str">
        <f ca="1">IFERROR(__xludf.DUMMYFUNCTION("""COMPUTED_VALUE"""),"Зональный район")</f>
        <v>Зональный район</v>
      </c>
      <c r="N39" s="1"/>
      <c r="O39" s="1" t="str">
        <f ca="1">IFERROR(__xludf.DUMMYFUNCTION("""COMPUTED_VALUE"""),"Шуликов Е.С, Шуликов А.С")</f>
        <v>Шуликов Е.С, Шуликов А.С</v>
      </c>
      <c r="Q39" s="1" t="str">
        <f ca="1">IFERROR(__xludf.DUMMYFUNCTION("""COMPUTED_VALUE"""),"Р.Алтай")</f>
        <v>Р.Алтай</v>
      </c>
    </row>
    <row r="40" spans="1:17">
      <c r="A40" s="44"/>
      <c r="B40" s="44"/>
      <c r="C40" s="1">
        <f ca="1">IFERROR(__xludf.DUMMYFUNCTION("""COMPUTED_VALUE"""),53)</f>
        <v>53</v>
      </c>
      <c r="D40" s="1">
        <f ca="1">IFERROR(__xludf.DUMMYFUNCTION("""COMPUTED_VALUE"""),53)</f>
        <v>53</v>
      </c>
      <c r="E40" s="1"/>
      <c r="F40" s="1">
        <f ca="1">IFERROR(__xludf.DUMMYFUNCTION("""COMPUTED_VALUE"""),4)</f>
        <v>4</v>
      </c>
      <c r="G40" s="1" t="str">
        <f ca="1">IFERROR(__xludf.DUMMYFUNCTION("""COMPUTED_VALUE"""),"ГОРБОВ  Андрей ")</f>
        <v xml:space="preserve">ГОРБОВ  Андрей </v>
      </c>
      <c r="H40" s="1" t="str">
        <f ca="1">IFERROR(__xludf.DUMMYFUNCTION("""COMPUTED_VALUE"""),"ГОРБОВ  Андрей  Григорьевич ")</f>
        <v xml:space="preserve">ГОРБОВ  Андрей  Григорьевич </v>
      </c>
      <c r="I40" s="1" t="str">
        <f ca="1">IFERROR(__xludf.DUMMYFUNCTION("""COMPUTED_VALUE"""),"19.05.11, 3юн")</f>
        <v>19.05.11, 3юн</v>
      </c>
      <c r="J40" s="1" t="str">
        <f ca="1">IFERROR(__xludf.DUMMYFUNCTION("""COMPUTED_VALUE"""),"3юн")</f>
        <v>3юн</v>
      </c>
      <c r="K40" s="1" t="str">
        <f ca="1">IFERROR(__xludf.DUMMYFUNCTION("""COMPUTED_VALUE"""),"СФО")</f>
        <v>СФО</v>
      </c>
      <c r="L40" s="1" t="str">
        <f ca="1">IFERROR(__xludf.DUMMYFUNCTION("""COMPUTED_VALUE"""),"г. Змеиногорс , МБУДО,, Змеиногорская СШ """)</f>
        <v>г. Змеиногорс , МБУДО,, Змеиногорская СШ "</v>
      </c>
      <c r="M40" s="1" t="str">
        <f ca="1">IFERROR(__xludf.DUMMYFUNCTION("""COMPUTED_VALUE"""),"г. Змеиногорс ")</f>
        <v xml:space="preserve">г. Змеиногорс </v>
      </c>
      <c r="N40" s="1"/>
      <c r="O40" s="1" t="str">
        <f ca="1">IFERROR(__xludf.DUMMYFUNCTION("""COMPUTED_VALUE"""),"Ломиворотов Сергей Сергеевич ")</f>
        <v xml:space="preserve">Ломиворотов Сергей Сергеевич </v>
      </c>
      <c r="Q40" s="1" t="str">
        <f ca="1">IFERROR(__xludf.DUMMYFUNCTION("""COMPUTED_VALUE"""),"Тюменская")</f>
        <v>Тюменская</v>
      </c>
    </row>
    <row r="41" spans="1:17">
      <c r="A41" s="44"/>
      <c r="B41" s="44"/>
      <c r="C41" s="1">
        <f ca="1">IFERROR(__xludf.DUMMYFUNCTION("""COMPUTED_VALUE"""),53)</f>
        <v>53</v>
      </c>
      <c r="D41" s="1">
        <f ca="1">IFERROR(__xludf.DUMMYFUNCTION("""COMPUTED_VALUE"""),53)</f>
        <v>53</v>
      </c>
      <c r="E41" s="1"/>
      <c r="F41" s="1">
        <f ca="1">IFERROR(__xludf.DUMMYFUNCTION("""COMPUTED_VALUE"""),5)</f>
        <v>5</v>
      </c>
      <c r="G41" s="1" t="str">
        <f ca="1">IFERROR(__xludf.DUMMYFUNCTION("""COMPUTED_VALUE"""),"ДИСЕНОВ Тимур")</f>
        <v>ДИСЕНОВ Тимур</v>
      </c>
      <c r="H41" s="1" t="str">
        <f ca="1">IFERROR(__xludf.DUMMYFUNCTION("""COMPUTED_VALUE"""),"ДИСЕНОВ Тимур Денисович")</f>
        <v>ДИСЕНОВ Тимур Денисович</v>
      </c>
      <c r="I41" s="1" t="str">
        <f ca="1">IFERROR(__xludf.DUMMYFUNCTION("""COMPUTED_VALUE"""),"22.02.10, 2юн")</f>
        <v>22.02.10, 2юн</v>
      </c>
      <c r="J41" s="1" t="str">
        <f ca="1">IFERROR(__xludf.DUMMYFUNCTION("""COMPUTED_VALUE"""),"2юн")</f>
        <v>2юн</v>
      </c>
      <c r="K41" s="1" t="str">
        <f ca="1">IFERROR(__xludf.DUMMYFUNCTION("""COMPUTED_VALUE"""),"СФО")</f>
        <v>СФО</v>
      </c>
      <c r="L41" s="1" t="str">
        <f ca="1">IFERROR(__xludf.DUMMYFUNCTION("""COMPUTED_VALUE"""),"Барнаул, АКОО""КСЕ""ФАВОРИТ""")</f>
        <v>Барнаул, АКОО"КСЕ"ФАВОРИТ"</v>
      </c>
      <c r="M41" s="1" t="str">
        <f ca="1">IFERROR(__xludf.DUMMYFUNCTION("""COMPUTED_VALUE"""),"Барнаул")</f>
        <v>Барнаул</v>
      </c>
      <c r="N41" s="1"/>
      <c r="O41" s="1" t="str">
        <f ca="1">IFERROR(__xludf.DUMMYFUNCTION("""COMPUTED_VALUE"""),"Струфа М.Л.")</f>
        <v>Струфа М.Л.</v>
      </c>
      <c r="Q41" s="1" t="str">
        <f ca="1">IFERROR(__xludf.DUMMYFUNCTION("""COMPUTED_VALUE"""),"Р.Тыва")</f>
        <v>Р.Тыва</v>
      </c>
    </row>
    <row r="42" spans="1:17">
      <c r="A42" s="44"/>
      <c r="B42" s="44"/>
      <c r="C42" s="1">
        <f ca="1">IFERROR(__xludf.DUMMYFUNCTION("""COMPUTED_VALUE"""),53)</f>
        <v>53</v>
      </c>
      <c r="D42" s="1">
        <f ca="1">IFERROR(__xludf.DUMMYFUNCTION("""COMPUTED_VALUE"""),53)</f>
        <v>53</v>
      </c>
      <c r="E42" s="1"/>
      <c r="F42" s="1">
        <f ca="1">IFERROR(__xludf.DUMMYFUNCTION("""COMPUTED_VALUE"""),6)</f>
        <v>6</v>
      </c>
      <c r="G42" s="1" t="str">
        <f ca="1">IFERROR(__xludf.DUMMYFUNCTION("""COMPUTED_VALUE"""),"ПЕРОВ  Александр ")</f>
        <v xml:space="preserve">ПЕРОВ  Александр </v>
      </c>
      <c r="H42" s="1" t="str">
        <f ca="1">IFERROR(__xludf.DUMMYFUNCTION("""COMPUTED_VALUE"""),"ПЕРОВ  Александр  Евгеньевич ")</f>
        <v xml:space="preserve">ПЕРОВ  Александр  Евгеньевич </v>
      </c>
      <c r="I42" s="1" t="str">
        <f ca="1">IFERROR(__xludf.DUMMYFUNCTION("""COMPUTED_VALUE"""),"13.09.10, 2сп")</f>
        <v>13.09.10, 2сп</v>
      </c>
      <c r="J42" s="1" t="str">
        <f ca="1">IFERROR(__xludf.DUMMYFUNCTION("""COMPUTED_VALUE"""),"2сп")</f>
        <v>2сп</v>
      </c>
      <c r="K42" s="1" t="str">
        <f ca="1">IFERROR(__xludf.DUMMYFUNCTION("""COMPUTED_VALUE"""),"СФО")</f>
        <v>СФО</v>
      </c>
      <c r="L42" s="1" t="str">
        <f ca="1">IFERROR(__xludf.DUMMYFUNCTION("""COMPUTED_VALUE"""),"Бийск , СШОР №3 им.А.Гуляева")</f>
        <v>Бийск , СШОР №3 им.А.Гуляева</v>
      </c>
      <c r="M42" s="1" t="str">
        <f ca="1">IFERROR(__xludf.DUMMYFUNCTION("""COMPUTED_VALUE"""),"Бийск ")</f>
        <v xml:space="preserve">Бийск </v>
      </c>
      <c r="N42" s="1"/>
      <c r="O42" s="1" t="str">
        <f ca="1">IFERROR(__xludf.DUMMYFUNCTION("""COMPUTED_VALUE"""),"Асадова А.В.., Гаврилов В.В.")</f>
        <v>Асадова А.В.., Гаврилов В.В.</v>
      </c>
      <c r="Q42" s="1" t="str">
        <f ca="1">IFERROR(__xludf.DUMMYFUNCTION("""COMPUTED_VALUE"""),"Р.Хакасия")</f>
        <v>Р.Хакасия</v>
      </c>
    </row>
    <row r="43" spans="1:17">
      <c r="A43" s="44"/>
      <c r="B43" s="44"/>
      <c r="C43" s="1">
        <f ca="1">IFERROR(__xludf.DUMMYFUNCTION("""COMPUTED_VALUE"""),53)</f>
        <v>53</v>
      </c>
      <c r="D43" s="1">
        <f ca="1">IFERROR(__xludf.DUMMYFUNCTION("""COMPUTED_VALUE"""),53)</f>
        <v>53</v>
      </c>
      <c r="E43" s="1"/>
      <c r="F43" s="1">
        <f ca="1">IFERROR(__xludf.DUMMYFUNCTION("""COMPUTED_VALUE"""),7)</f>
        <v>7</v>
      </c>
      <c r="G43" s="1" t="str">
        <f ca="1">IFERROR(__xludf.DUMMYFUNCTION("""COMPUTED_VALUE"""),"ТЕЛЕПЕГИН Степан")</f>
        <v>ТЕЛЕПЕГИН Степан</v>
      </c>
      <c r="H43" s="1" t="str">
        <f ca="1">IFERROR(__xludf.DUMMYFUNCTION("""COMPUTED_VALUE"""),"ТЕЛЕПЕГИН Степан Григорьевич")</f>
        <v>ТЕЛЕПЕГИН Степан Григорьевич</v>
      </c>
      <c r="I43" s="1" t="str">
        <f ca="1">IFERROR(__xludf.DUMMYFUNCTION("""COMPUTED_VALUE"""),"15.04.11, 3юн")</f>
        <v>15.04.11, 3юн</v>
      </c>
      <c r="J43" s="1" t="str">
        <f ca="1">IFERROR(__xludf.DUMMYFUNCTION("""COMPUTED_VALUE"""),"3юн")</f>
        <v>3юн</v>
      </c>
      <c r="K43" s="1" t="str">
        <f ca="1">IFERROR(__xludf.DUMMYFUNCTION("""COMPUTED_VALUE"""),"СФО")</f>
        <v>СФО</v>
      </c>
      <c r="L43" s="1" t="str">
        <f ca="1">IFERROR(__xludf.DUMMYFUNCTION("""COMPUTED_VALUE"""),"Заринск, СК ""Метеор+""")</f>
        <v>Заринск, СК "Метеор+"</v>
      </c>
      <c r="M43" s="1" t="str">
        <f ca="1">IFERROR(__xludf.DUMMYFUNCTION("""COMPUTED_VALUE"""),"Заринск")</f>
        <v>Заринск</v>
      </c>
      <c r="N43" s="1"/>
      <c r="O43" s="1" t="str">
        <f ca="1">IFERROR(__xludf.DUMMYFUNCTION("""COMPUTED_VALUE"""),"Казанцев А. Е., Казанцева Л. С")</f>
        <v>Казанцев А. Е., Казанцева Л. С</v>
      </c>
      <c r="Q43" s="1" t="str">
        <f ca="1">IFERROR(__xludf.DUMMYFUNCTION("""COMPUTED_VALUE"""),"Иркутская")</f>
        <v>Иркутская</v>
      </c>
    </row>
    <row r="44" spans="1:17">
      <c r="A44" s="44"/>
      <c r="B44" s="44"/>
      <c r="C44" s="1">
        <f ca="1">IFERROR(__xludf.DUMMYFUNCTION("""COMPUTED_VALUE"""),53)</f>
        <v>53</v>
      </c>
      <c r="D44" s="1">
        <f ca="1">IFERROR(__xludf.DUMMYFUNCTION("""COMPUTED_VALUE"""),53)</f>
        <v>53</v>
      </c>
      <c r="E44" s="1"/>
      <c r="F44" s="1">
        <f ca="1">IFERROR(__xludf.DUMMYFUNCTION("""COMPUTED_VALUE"""),8)</f>
        <v>8</v>
      </c>
      <c r="G44" s="1" t="str">
        <f ca="1">IFERROR(__xludf.DUMMYFUNCTION("""COMPUTED_VALUE"""),"МАУЛЬ Владислав")</f>
        <v>МАУЛЬ Владислав</v>
      </c>
      <c r="H44" s="1" t="str">
        <f ca="1">IFERROR(__xludf.DUMMYFUNCTION("""COMPUTED_VALUE"""),"МАУЛЬ Владислав Дмитриевич")</f>
        <v>МАУЛЬ Владислав Дмитриевич</v>
      </c>
      <c r="I44" s="1" t="str">
        <f ca="1">IFERROR(__xludf.DUMMYFUNCTION("""COMPUTED_VALUE"""),"13.09.09, 2юн")</f>
        <v>13.09.09, 2юн</v>
      </c>
      <c r="J44" s="1" t="str">
        <f ca="1">IFERROR(__xludf.DUMMYFUNCTION("""COMPUTED_VALUE"""),"2юн")</f>
        <v>2юн</v>
      </c>
      <c r="K44" s="1" t="str">
        <f ca="1">IFERROR(__xludf.DUMMYFUNCTION("""COMPUTED_VALUE"""),"СФО")</f>
        <v>СФО</v>
      </c>
      <c r="L44" s="1" t="str">
        <f ca="1">IFERROR(__xludf.DUMMYFUNCTION("""COMPUTED_VALUE"""),"Зональный район, Зональная ДЮСШ")</f>
        <v>Зональный район, Зональная ДЮСШ</v>
      </c>
      <c r="M44" s="1" t="str">
        <f ca="1">IFERROR(__xludf.DUMMYFUNCTION("""COMPUTED_VALUE"""),"Зональный район")</f>
        <v>Зональный район</v>
      </c>
      <c r="N44" s="1"/>
      <c r="O44" s="1" t="str">
        <f ca="1">IFERROR(__xludf.DUMMYFUNCTION("""COMPUTED_VALUE"""),"Шуликов Е.С. Шуликов А.С.")</f>
        <v>Шуликов Е.С. Шуликов А.С.</v>
      </c>
      <c r="Q44" s="1" t="str">
        <f ca="1">IFERROR(__xludf.DUMMYFUNCTION("""COMPUTED_VALUE"""),"Р.Татарстан")</f>
        <v>Р.Татарстан</v>
      </c>
    </row>
    <row r="45" spans="1:17">
      <c r="A45" s="44"/>
      <c r="B45" s="44"/>
      <c r="C45" s="1">
        <f ca="1">IFERROR(__xludf.DUMMYFUNCTION("""COMPUTED_VALUE"""),53)</f>
        <v>53</v>
      </c>
      <c r="D45" s="1">
        <f ca="1">IFERROR(__xludf.DUMMYFUNCTION("""COMPUTED_VALUE"""),53)</f>
        <v>53</v>
      </c>
      <c r="E45" s="1"/>
      <c r="F45" s="1">
        <f ca="1">IFERROR(__xludf.DUMMYFUNCTION("""COMPUTED_VALUE"""),9)</f>
        <v>9</v>
      </c>
      <c r="G45" s="1" t="str">
        <f ca="1">IFERROR(__xludf.DUMMYFUNCTION("""COMPUTED_VALUE"""),"ПЕРУНОВ Владимир")</f>
        <v>ПЕРУНОВ Владимир</v>
      </c>
      <c r="H45" s="1" t="str">
        <f ca="1">IFERROR(__xludf.DUMMYFUNCTION("""COMPUTED_VALUE"""),"ПЕРУНОВ Владимир Иванович")</f>
        <v>ПЕРУНОВ Владимир Иванович</v>
      </c>
      <c r="I45" s="1" t="str">
        <f ca="1">IFERROR(__xludf.DUMMYFUNCTION("""COMPUTED_VALUE"""),"24.04.09, 2сп")</f>
        <v>24.04.09, 2сп</v>
      </c>
      <c r="J45" s="1" t="str">
        <f ca="1">IFERROR(__xludf.DUMMYFUNCTION("""COMPUTED_VALUE"""),"2сп")</f>
        <v>2сп</v>
      </c>
      <c r="K45" s="1" t="str">
        <f ca="1">IFERROR(__xludf.DUMMYFUNCTION("""COMPUTED_VALUE"""),"СФО")</f>
        <v>СФО</v>
      </c>
      <c r="L45" s="1" t="str">
        <f ca="1">IFERROR(__xludf.DUMMYFUNCTION("""COMPUTED_VALUE"""),"Барнаул, АУОР")</f>
        <v>Барнаул, АУОР</v>
      </c>
      <c r="M45" s="1" t="str">
        <f ca="1">IFERROR(__xludf.DUMMYFUNCTION("""COMPUTED_VALUE"""),"Барнаул")</f>
        <v>Барнаул</v>
      </c>
      <c r="N45" s="1"/>
      <c r="O45" s="1" t="str">
        <f ca="1">IFERROR(__xludf.DUMMYFUNCTION("""COMPUTED_VALUE"""),"Тюкин С. Г Политов К. В")</f>
        <v>Тюкин С. Г Политов К. В</v>
      </c>
      <c r="Q45" s="1" t="str">
        <f ca="1">IFERROR(__xludf.DUMMYFUNCTION("""COMPUTED_VALUE"""),"Воронежская")</f>
        <v>Воронежская</v>
      </c>
    </row>
    <row r="46" spans="1:17">
      <c r="A46" s="44"/>
      <c r="B46" s="44"/>
      <c r="C46" s="1">
        <f ca="1">IFERROR(__xludf.DUMMYFUNCTION("""COMPUTED_VALUE"""),53)</f>
        <v>53</v>
      </c>
      <c r="D46" s="1">
        <f ca="1">IFERROR(__xludf.DUMMYFUNCTION("""COMPUTED_VALUE"""),53)</f>
        <v>53</v>
      </c>
      <c r="E46" s="1"/>
      <c r="F46" s="1">
        <f ca="1">IFERROR(__xludf.DUMMYFUNCTION("""COMPUTED_VALUE"""),10)</f>
        <v>10</v>
      </c>
      <c r="G46" s="1" t="str">
        <f ca="1">IFERROR(__xludf.DUMMYFUNCTION("""COMPUTED_VALUE"""),"СМОЛИН  Матвей ")</f>
        <v xml:space="preserve">СМОЛИН  Матвей </v>
      </c>
      <c r="H46" s="1" t="str">
        <f ca="1">IFERROR(__xludf.DUMMYFUNCTION("""COMPUTED_VALUE"""),"СМОЛИН  Матвей  Алексеевич")</f>
        <v>СМОЛИН  Матвей  Алексеевич</v>
      </c>
      <c r="I46" s="1" t="str">
        <f ca="1">IFERROR(__xludf.DUMMYFUNCTION("""COMPUTED_VALUE"""),"15.10.10, 1юн")</f>
        <v>15.10.10, 1юн</v>
      </c>
      <c r="J46" s="1" t="str">
        <f ca="1">IFERROR(__xludf.DUMMYFUNCTION("""COMPUTED_VALUE"""),"1юн")</f>
        <v>1юн</v>
      </c>
      <c r="K46" s="1" t="str">
        <f ca="1">IFERROR(__xludf.DUMMYFUNCTION("""COMPUTED_VALUE"""),"СФО")</f>
        <v>СФО</v>
      </c>
      <c r="L46" s="1" t="str">
        <f ca="1">IFERROR(__xludf.DUMMYFUNCTION("""COMPUTED_VALUE"""),"Бийск, МБУДО СШОР№3 имени А. Гуляева")</f>
        <v>Бийск, МБУДО СШОР№3 имени А. Гуляева</v>
      </c>
      <c r="M46" s="1" t="str">
        <f ca="1">IFERROR(__xludf.DUMMYFUNCTION("""COMPUTED_VALUE"""),"Бийск")</f>
        <v>Бийск</v>
      </c>
      <c r="N46" s="1"/>
      <c r="O46" s="1" t="str">
        <f ca="1">IFERROR(__xludf.DUMMYFUNCTION("""COMPUTED_VALUE"""),"Акулов В.Н., Шевцова Е.В.")</f>
        <v>Акулов В.Н., Шевцова Е.В.</v>
      </c>
      <c r="Q46" s="1" t="str">
        <f ca="1">IFERROR(__xludf.DUMMYFUNCTION("""COMPUTED_VALUE"""),"Ярославская")</f>
        <v>Ярославская</v>
      </c>
    </row>
    <row r="47" spans="1:17">
      <c r="A47" s="44"/>
      <c r="B47" s="44"/>
      <c r="C47" s="1">
        <f ca="1">IFERROR(__xludf.DUMMYFUNCTION("""COMPUTED_VALUE"""),53)</f>
        <v>53</v>
      </c>
      <c r="D47" s="1">
        <f ca="1">IFERROR(__xludf.DUMMYFUNCTION("""COMPUTED_VALUE"""),53)</f>
        <v>53</v>
      </c>
      <c r="E47" s="1"/>
      <c r="F47" s="1">
        <f ca="1">IFERROR(__xludf.DUMMYFUNCTION("""COMPUTED_VALUE"""),11)</f>
        <v>11</v>
      </c>
      <c r="G47" s="1" t="str">
        <f ca="1">IFERROR(__xludf.DUMMYFUNCTION("""COMPUTED_VALUE"""),"УТКИН Егор")</f>
        <v>УТКИН Егор</v>
      </c>
      <c r="H47" s="1" t="str">
        <f ca="1">IFERROR(__xludf.DUMMYFUNCTION("""COMPUTED_VALUE"""),"УТКИН Егор Александрович")</f>
        <v>УТКИН Егор Александрович</v>
      </c>
      <c r="I47" s="1" t="str">
        <f ca="1">IFERROR(__xludf.DUMMYFUNCTION("""COMPUTED_VALUE"""),"29.10.10, 3юн")</f>
        <v>29.10.10, 3юн</v>
      </c>
      <c r="J47" s="1" t="str">
        <f ca="1">IFERROR(__xludf.DUMMYFUNCTION("""COMPUTED_VALUE"""),"3юн")</f>
        <v>3юн</v>
      </c>
      <c r="K47" s="1" t="str">
        <f ca="1">IFERROR(__xludf.DUMMYFUNCTION("""COMPUTED_VALUE"""),"СФО")</f>
        <v>СФО</v>
      </c>
      <c r="L47" s="1" t="str">
        <f ca="1">IFERROR(__xludf.DUMMYFUNCTION("""COMPUTED_VALUE"""),"Шипуново , МКУДО Шипуновская СШ ")</f>
        <v xml:space="preserve">Шипуново , МКУДО Шипуновская СШ </v>
      </c>
      <c r="M47" s="1" t="str">
        <f ca="1">IFERROR(__xludf.DUMMYFUNCTION("""COMPUTED_VALUE"""),"Шипуново ")</f>
        <v xml:space="preserve">Шипуново </v>
      </c>
      <c r="N47" s="1"/>
      <c r="O47" s="1" t="str">
        <f ca="1">IFERROR(__xludf.DUMMYFUNCTION("""COMPUTED_VALUE"""),"Курочка Д.В. Куликов В.М.")</f>
        <v>Курочка Д.В. Куликов В.М.</v>
      </c>
      <c r="Q47" s="1" t="str">
        <f ca="1">IFERROR(__xludf.DUMMYFUNCTION("""COMPUTED_VALUE"""),"Камчатский")</f>
        <v>Камчатский</v>
      </c>
    </row>
    <row r="48" spans="1:17">
      <c r="A48" s="44"/>
      <c r="B48" s="44"/>
      <c r="C48" s="1">
        <f ca="1">IFERROR(__xludf.DUMMYFUNCTION("""COMPUTED_VALUE"""),53)</f>
        <v>53</v>
      </c>
      <c r="D48" s="1">
        <f ca="1">IFERROR(__xludf.DUMMYFUNCTION("""COMPUTED_VALUE"""),53)</f>
        <v>53</v>
      </c>
      <c r="E48" s="1"/>
      <c r="F48" s="1">
        <f ca="1">IFERROR(__xludf.DUMMYFUNCTION("""COMPUTED_VALUE"""),12)</f>
        <v>12</v>
      </c>
      <c r="G48" s="1" t="str">
        <f ca="1">IFERROR(__xludf.DUMMYFUNCTION("""COMPUTED_VALUE"""),"СУРТАЕВ Евгений")</f>
        <v>СУРТАЕВ Евгений</v>
      </c>
      <c r="H48" s="1" t="str">
        <f ca="1">IFERROR(__xludf.DUMMYFUNCTION("""COMPUTED_VALUE"""),"СУРТАЕВ Евгений Александрович")</f>
        <v>СУРТАЕВ Евгений Александрович</v>
      </c>
      <c r="I48" s="1" t="str">
        <f ca="1">IFERROR(__xludf.DUMMYFUNCTION("""COMPUTED_VALUE"""),"20.11.09, 3сп")</f>
        <v>20.11.09, 3сп</v>
      </c>
      <c r="J48" s="1" t="str">
        <f ca="1">IFERROR(__xludf.DUMMYFUNCTION("""COMPUTED_VALUE"""),"3сп")</f>
        <v>3сп</v>
      </c>
      <c r="K48" s="1" t="str">
        <f ca="1">IFERROR(__xludf.DUMMYFUNCTION("""COMPUTED_VALUE"""),"СФО")</f>
        <v>СФО</v>
      </c>
      <c r="L48" s="1" t="str">
        <f ca="1">IFERROR(__xludf.DUMMYFUNCTION("""COMPUTED_VALUE"""),"Бийск, СШОР №3")</f>
        <v>Бийск, СШОР №3</v>
      </c>
      <c r="M48" s="1" t="str">
        <f ca="1">IFERROR(__xludf.DUMMYFUNCTION("""COMPUTED_VALUE"""),"Бийск")</f>
        <v>Бийск</v>
      </c>
      <c r="N48" s="1"/>
      <c r="O48" s="1" t="str">
        <f ca="1">IFERROR(__xludf.DUMMYFUNCTION("""COMPUTED_VALUE"""),"Шалюта П.В., Паринова Т.В.")</f>
        <v>Шалюта П.В., Паринова Т.В.</v>
      </c>
      <c r="Q48" s="1" t="str">
        <f ca="1">IFERROR(__xludf.DUMMYFUNCTION("""COMPUTED_VALUE"""),"Кемеровская")</f>
        <v>Кемеровская</v>
      </c>
    </row>
    <row r="49" spans="1:17">
      <c r="A49" s="44"/>
      <c r="B49" s="44"/>
      <c r="C49" s="1">
        <f ca="1">IFERROR(__xludf.DUMMYFUNCTION("""COMPUTED_VALUE"""),53)</f>
        <v>53</v>
      </c>
      <c r="D49" s="1">
        <f ca="1">IFERROR(__xludf.DUMMYFUNCTION("""COMPUTED_VALUE"""),53)</f>
        <v>53</v>
      </c>
      <c r="E49" s="1"/>
      <c r="F49" s="1">
        <f ca="1">IFERROR(__xludf.DUMMYFUNCTION("""COMPUTED_VALUE"""),13)</f>
        <v>13</v>
      </c>
      <c r="G49" s="1" t="str">
        <f ca="1">IFERROR(__xludf.DUMMYFUNCTION("""COMPUTED_VALUE"""),"ЗЕМЗЮЛИН Василий")</f>
        <v>ЗЕМЗЮЛИН Василий</v>
      </c>
      <c r="H49" s="1" t="str">
        <f ca="1">IFERROR(__xludf.DUMMYFUNCTION("""COMPUTED_VALUE"""),"ЗЕМЗЮЛИН Василий Евгеньевич")</f>
        <v>ЗЕМЗЮЛИН Василий Евгеньевич</v>
      </c>
      <c r="I49" s="1" t="str">
        <f ca="1">IFERROR(__xludf.DUMMYFUNCTION("""COMPUTED_VALUE"""),"03.04.09, 3юн")</f>
        <v>03.04.09, 3юн</v>
      </c>
      <c r="J49" s="1" t="str">
        <f ca="1">IFERROR(__xludf.DUMMYFUNCTION("""COMPUTED_VALUE"""),"3юн")</f>
        <v>3юн</v>
      </c>
      <c r="K49" s="1" t="str">
        <f ca="1">IFERROR(__xludf.DUMMYFUNCTION("""COMPUTED_VALUE"""),"СФО")</f>
        <v>СФО</v>
      </c>
      <c r="L49" s="1" t="str">
        <f ca="1">IFERROR(__xludf.DUMMYFUNCTION("""COMPUTED_VALUE"""),"Барнаул, КСШОР")</f>
        <v>Барнаул, КСШОР</v>
      </c>
      <c r="M49" s="1" t="str">
        <f ca="1">IFERROR(__xludf.DUMMYFUNCTION("""COMPUTED_VALUE"""),"Барнаул")</f>
        <v>Барнаул</v>
      </c>
      <c r="N49" s="1"/>
      <c r="O49" s="1" t="str">
        <f ca="1">IFERROR(__xludf.DUMMYFUNCTION("""COMPUTED_VALUE"""),"Жданов В.В.")</f>
        <v>Жданов В.В.</v>
      </c>
      <c r="Q49" s="1" t="str">
        <f ca="1">IFERROR(__xludf.DUMMYFUNCTION("""COMPUTED_VALUE"""),"Самарская")</f>
        <v>Самарская</v>
      </c>
    </row>
    <row r="50" spans="1:17">
      <c r="A50" s="44"/>
      <c r="B50" s="44"/>
      <c r="C50" s="1">
        <f ca="1">IFERROR(__xludf.DUMMYFUNCTION("""COMPUTED_VALUE"""),53)</f>
        <v>53</v>
      </c>
      <c r="D50" s="1">
        <f ca="1">IFERROR(__xludf.DUMMYFUNCTION("""COMPUTED_VALUE"""),53)</f>
        <v>53</v>
      </c>
      <c r="E50" s="1"/>
      <c r="F50" s="1">
        <f ca="1">IFERROR(__xludf.DUMMYFUNCTION("""COMPUTED_VALUE"""),14)</f>
        <v>14</v>
      </c>
      <c r="G50" s="1" t="str">
        <f ca="1">IFERROR(__xludf.DUMMYFUNCTION("""COMPUTED_VALUE"""),"ПАНЬКОВ Егор")</f>
        <v>ПАНЬКОВ Егор</v>
      </c>
      <c r="H50" s="1" t="str">
        <f ca="1">IFERROR(__xludf.DUMMYFUNCTION("""COMPUTED_VALUE"""),"ПАНЬКОВ Егор Артемович")</f>
        <v>ПАНЬКОВ Егор Артемович</v>
      </c>
      <c r="I50" s="1" t="str">
        <f ca="1">IFERROR(__xludf.DUMMYFUNCTION("""COMPUTED_VALUE"""),"30.09.10, 2юн")</f>
        <v>30.09.10, 2юн</v>
      </c>
      <c r="J50" s="1" t="str">
        <f ca="1">IFERROR(__xludf.DUMMYFUNCTION("""COMPUTED_VALUE"""),"2юн")</f>
        <v>2юн</v>
      </c>
      <c r="K50" s="1" t="str">
        <f ca="1">IFERROR(__xludf.DUMMYFUNCTION("""COMPUTED_VALUE"""),"СФО")</f>
        <v>СФО</v>
      </c>
      <c r="L50" s="1" t="str">
        <f ca="1">IFERROR(__xludf.DUMMYFUNCTION("""COMPUTED_VALUE"""),"Мамонтово, Мамонтовская СШ")</f>
        <v>Мамонтово, Мамонтовская СШ</v>
      </c>
      <c r="M50" s="1" t="str">
        <f ca="1">IFERROR(__xludf.DUMMYFUNCTION("""COMPUTED_VALUE"""),"Мамонтово")</f>
        <v>Мамонтово</v>
      </c>
      <c r="N50" s="1"/>
      <c r="O50" s="1" t="str">
        <f ca="1">IFERROR(__xludf.DUMMYFUNCTION("""COMPUTED_VALUE"""),"Гроо В.В.")</f>
        <v>Гроо В.В.</v>
      </c>
      <c r="Q50" s="1" t="str">
        <f ca="1">IFERROR(__xludf.DUMMYFUNCTION("""COMPUTED_VALUE"""),"Р.Башкортостан")</f>
        <v>Р.Башкортостан</v>
      </c>
    </row>
    <row r="51" spans="1:17">
      <c r="A51" s="44"/>
      <c r="B51" s="44"/>
      <c r="C51" s="1">
        <f ca="1">IFERROR(__xludf.DUMMYFUNCTION("""COMPUTED_VALUE"""),53)</f>
        <v>53</v>
      </c>
      <c r="D51" s="1">
        <f ca="1">IFERROR(__xludf.DUMMYFUNCTION("""COMPUTED_VALUE"""),53)</f>
        <v>53</v>
      </c>
      <c r="E51" s="1"/>
      <c r="F51" s="1">
        <f ca="1">IFERROR(__xludf.DUMMYFUNCTION("""COMPUTED_VALUE"""),15)</f>
        <v>15</v>
      </c>
      <c r="G51" s="1" t="str">
        <f ca="1">IFERROR(__xludf.DUMMYFUNCTION("""COMPUTED_VALUE"""),"ПОПОВ Алексей ")</f>
        <v xml:space="preserve">ПОПОВ Алексей </v>
      </c>
      <c r="H51" s="1" t="str">
        <f ca="1">IFERROR(__xludf.DUMMYFUNCTION("""COMPUTED_VALUE"""),"ПОПОВ Алексей  Иванович")</f>
        <v>ПОПОВ Алексей  Иванович</v>
      </c>
      <c r="I51" s="1" t="str">
        <f ca="1">IFERROR(__xludf.DUMMYFUNCTION("""COMPUTED_VALUE"""),"16.12.10, 2юн")</f>
        <v>16.12.10, 2юн</v>
      </c>
      <c r="J51" s="1" t="str">
        <f ca="1">IFERROR(__xludf.DUMMYFUNCTION("""COMPUTED_VALUE"""),"2юн")</f>
        <v>2юн</v>
      </c>
      <c r="K51" s="1" t="str">
        <f ca="1">IFERROR(__xludf.DUMMYFUNCTION("""COMPUTED_VALUE"""),"СФО")</f>
        <v>СФО</v>
      </c>
      <c r="L51" s="1" t="str">
        <f ca="1">IFERROR(__xludf.DUMMYFUNCTION("""COMPUTED_VALUE"""),"Красногорское, МБУ ДО СШ Виктория")</f>
        <v>Красногорское, МБУ ДО СШ Виктория</v>
      </c>
      <c r="M51" s="1" t="str">
        <f ca="1">IFERROR(__xludf.DUMMYFUNCTION("""COMPUTED_VALUE"""),"Красногорское")</f>
        <v>Красногорское</v>
      </c>
      <c r="N51" s="1"/>
      <c r="O51" s="1" t="str">
        <f ca="1">IFERROR(__xludf.DUMMYFUNCTION("""COMPUTED_VALUE"""),"Тебереков Г. И. Политов К. В. ")</f>
        <v xml:space="preserve">Тебереков Г. И. Политов К. В. </v>
      </c>
      <c r="Q51" s="1" t="str">
        <f ca="1">IFERROR(__xludf.DUMMYFUNCTION("""COMPUTED_VALUE"""),"Омская")</f>
        <v>Омская</v>
      </c>
    </row>
    <row r="52" spans="1:17">
      <c r="A52" s="44"/>
      <c r="B52" s="44"/>
      <c r="C52" s="1">
        <f ca="1">IFERROR(__xludf.DUMMYFUNCTION("""COMPUTED_VALUE"""),53)</f>
        <v>53</v>
      </c>
      <c r="D52" s="1">
        <f ca="1">IFERROR(__xludf.DUMMYFUNCTION("""COMPUTED_VALUE"""),53)</f>
        <v>53</v>
      </c>
      <c r="E52" s="1"/>
      <c r="F52" s="1">
        <f ca="1">IFERROR(__xludf.DUMMYFUNCTION("""COMPUTED_VALUE"""),16)</f>
        <v>16</v>
      </c>
      <c r="G52" s="1" t="str">
        <f ca="1">IFERROR(__xludf.DUMMYFUNCTION("""COMPUTED_VALUE"""),"КРАХМАЛЕВ Андрей")</f>
        <v>КРАХМАЛЕВ Андрей</v>
      </c>
      <c r="H52" s="1" t="str">
        <f ca="1">IFERROR(__xludf.DUMMYFUNCTION("""COMPUTED_VALUE"""),"КРАХМАЛЕВ Андрей Сергеевич")</f>
        <v>КРАХМАЛЕВ Андрей Сергеевич</v>
      </c>
      <c r="I52" s="1" t="str">
        <f ca="1">IFERROR(__xludf.DUMMYFUNCTION("""COMPUTED_VALUE"""),"18.01.10, 3юн")</f>
        <v>18.01.10, 3юн</v>
      </c>
      <c r="J52" s="1" t="str">
        <f ca="1">IFERROR(__xludf.DUMMYFUNCTION("""COMPUTED_VALUE"""),"3юн")</f>
        <v>3юн</v>
      </c>
      <c r="K52" s="1" t="str">
        <f ca="1">IFERROR(__xludf.DUMMYFUNCTION("""COMPUTED_VALUE"""),"СФО")</f>
        <v>СФО</v>
      </c>
      <c r="L52" s="1" t="str">
        <f ca="1">IFERROR(__xludf.DUMMYFUNCTION("""COMPUTED_VALUE"""),"Барнаул, АКОО""КСЕ""ФАВОРИТ""")</f>
        <v>Барнаул, АКОО"КСЕ"ФАВОРИТ"</v>
      </c>
      <c r="M52" s="1" t="str">
        <f ca="1">IFERROR(__xludf.DUMMYFUNCTION("""COMPUTED_VALUE"""),"Барнаул")</f>
        <v>Барнаул</v>
      </c>
      <c r="N52" s="1"/>
      <c r="O52" s="1" t="str">
        <f ca="1">IFERROR(__xludf.DUMMYFUNCTION("""COMPUTED_VALUE"""),"Струфа М.Л.")</f>
        <v>Струфа М.Л.</v>
      </c>
    </row>
    <row r="53" spans="1:17">
      <c r="A53" s="44"/>
      <c r="B53" s="44"/>
      <c r="C53" s="1">
        <f ca="1">IFERROR(__xludf.DUMMYFUNCTION("""COMPUTED_VALUE"""),53)</f>
        <v>53</v>
      </c>
      <c r="D53" s="1">
        <f ca="1">IFERROR(__xludf.DUMMYFUNCTION("""COMPUTED_VALUE"""),53)</f>
        <v>53</v>
      </c>
      <c r="E53" s="1"/>
      <c r="F53" s="1">
        <f ca="1">IFERROR(__xludf.DUMMYFUNCTION("""COMPUTED_VALUE"""),17)</f>
        <v>17</v>
      </c>
      <c r="G53" s="1" t="str">
        <f ca="1">IFERROR(__xludf.DUMMYFUNCTION("""COMPUTED_VALUE"""),"ВОЛКОВ Никита")</f>
        <v>ВОЛКОВ Никита</v>
      </c>
      <c r="H53" s="1" t="str">
        <f ca="1">IFERROR(__xludf.DUMMYFUNCTION("""COMPUTED_VALUE"""),"ВОЛКОВ Никита Сергеевич")</f>
        <v>ВОЛКОВ Никита Сергеевич</v>
      </c>
      <c r="I53" s="1" t="str">
        <f ca="1">IFERROR(__xludf.DUMMYFUNCTION("""COMPUTED_VALUE"""),"09.06.10, 3юн")</f>
        <v>09.06.10, 3юн</v>
      </c>
      <c r="J53" s="1" t="str">
        <f ca="1">IFERROR(__xludf.DUMMYFUNCTION("""COMPUTED_VALUE"""),"3юн")</f>
        <v>3юн</v>
      </c>
      <c r="K53" s="1" t="str">
        <f ca="1">IFERROR(__xludf.DUMMYFUNCTION("""COMPUTED_VALUE"""),"СФО")</f>
        <v>СФО</v>
      </c>
      <c r="L53" s="1" t="str">
        <f ca="1">IFERROR(__xludf.DUMMYFUNCTION("""COMPUTED_VALUE"""),"Завьялово, СШ с Завьялово")</f>
        <v>Завьялово, СШ с Завьялово</v>
      </c>
      <c r="M53" s="1" t="str">
        <f ca="1">IFERROR(__xludf.DUMMYFUNCTION("""COMPUTED_VALUE"""),"Завьялово")</f>
        <v>Завьялово</v>
      </c>
      <c r="N53" s="1"/>
      <c r="O53" s="1" t="str">
        <f ca="1">IFERROR(__xludf.DUMMYFUNCTION("""COMPUTED_VALUE"""),"Ганжа К Н")</f>
        <v>Ганжа К Н</v>
      </c>
    </row>
    <row r="54" spans="1:17">
      <c r="A54" s="44"/>
      <c r="B54" s="44"/>
      <c r="C54" s="1">
        <f ca="1">IFERROR(__xludf.DUMMYFUNCTION("""COMPUTED_VALUE"""),53)</f>
        <v>53</v>
      </c>
      <c r="D54" s="1">
        <f ca="1">IFERROR(__xludf.DUMMYFUNCTION("""COMPUTED_VALUE"""),53)</f>
        <v>53</v>
      </c>
      <c r="E54" s="1"/>
      <c r="F54" s="1">
        <f ca="1">IFERROR(__xludf.DUMMYFUNCTION("""COMPUTED_VALUE"""),18)</f>
        <v>18</v>
      </c>
      <c r="G54" s="1" t="str">
        <f ca="1">IFERROR(__xludf.DUMMYFUNCTION("""COMPUTED_VALUE"""),"КАТАСОНОВ Алексей")</f>
        <v>КАТАСОНОВ Алексей</v>
      </c>
      <c r="H54" s="1" t="str">
        <f ca="1">IFERROR(__xludf.DUMMYFUNCTION("""COMPUTED_VALUE"""),"КАТАСОНОВ Алексей Владимирович")</f>
        <v>КАТАСОНОВ Алексей Владимирович</v>
      </c>
      <c r="I54" s="1" t="str">
        <f ca="1">IFERROR(__xludf.DUMMYFUNCTION("""COMPUTED_VALUE"""),"23.12.10, 1юн")</f>
        <v>23.12.10, 1юн</v>
      </c>
      <c r="J54" s="1" t="str">
        <f ca="1">IFERROR(__xludf.DUMMYFUNCTION("""COMPUTED_VALUE"""),"1юн")</f>
        <v>1юн</v>
      </c>
      <c r="K54" s="1" t="str">
        <f ca="1">IFERROR(__xludf.DUMMYFUNCTION("""COMPUTED_VALUE"""),"СФО")</f>
        <v>СФО</v>
      </c>
      <c r="L54" s="1" t="str">
        <f ca="1">IFERROR(__xludf.DUMMYFUNCTION("""COMPUTED_VALUE"""),"Зональный район, Зональная ДЮСШ")</f>
        <v>Зональный район, Зональная ДЮСШ</v>
      </c>
      <c r="M54" s="1" t="str">
        <f ca="1">IFERROR(__xludf.DUMMYFUNCTION("""COMPUTED_VALUE"""),"Зональный район")</f>
        <v>Зональный район</v>
      </c>
      <c r="N54" s="1"/>
      <c r="O54" s="1" t="str">
        <f ca="1">IFERROR(__xludf.DUMMYFUNCTION("""COMPUTED_VALUE"""),"Шуликов Е.С. Шуликов А.С.")</f>
        <v>Шуликов Е.С. Шуликов А.С.</v>
      </c>
    </row>
    <row r="55" spans="1:17">
      <c r="A55" s="44"/>
      <c r="B55" s="44"/>
      <c r="C55" s="1">
        <f ca="1">IFERROR(__xludf.DUMMYFUNCTION("""COMPUTED_VALUE"""),53)</f>
        <v>53</v>
      </c>
      <c r="D55" s="1">
        <f ca="1">IFERROR(__xludf.DUMMYFUNCTION("""COMPUTED_VALUE"""),53)</f>
        <v>53</v>
      </c>
      <c r="E55" s="1"/>
      <c r="F55" s="1">
        <f ca="1">IFERROR(__xludf.DUMMYFUNCTION("""COMPUTED_VALUE"""),19)</f>
        <v>19</v>
      </c>
      <c r="G55" s="1" t="str">
        <f ca="1">IFERROR(__xludf.DUMMYFUNCTION("""COMPUTED_VALUE"""),"НОВОСЁЛОВ Кирилл")</f>
        <v>НОВОСЁЛОВ Кирилл</v>
      </c>
      <c r="H55" s="1" t="str">
        <f ca="1">IFERROR(__xludf.DUMMYFUNCTION("""COMPUTED_VALUE"""),"НОВОСЁЛОВ Кирилл Иванович")</f>
        <v>НОВОСЁЛОВ Кирилл Иванович</v>
      </c>
      <c r="I55" s="1" t="str">
        <f ca="1">IFERROR(__xludf.DUMMYFUNCTION("""COMPUTED_VALUE"""),"01.07.10, 1сп")</f>
        <v>01.07.10, 1сп</v>
      </c>
      <c r="J55" s="1" t="str">
        <f ca="1">IFERROR(__xludf.DUMMYFUNCTION("""COMPUTED_VALUE"""),"1сп")</f>
        <v>1сп</v>
      </c>
      <c r="K55" s="1" t="str">
        <f ca="1">IFERROR(__xludf.DUMMYFUNCTION("""COMPUTED_VALUE"""),"СФО")</f>
        <v>СФО</v>
      </c>
      <c r="L55" s="1" t="str">
        <f ca="1">IFERROR(__xludf.DUMMYFUNCTION("""COMPUTED_VALUE"""),"Бийск, МБУДО СШОР№3 имени А. Гуляева")</f>
        <v>Бийск, МБУДО СШОР№3 имени А. Гуляева</v>
      </c>
      <c r="M55" s="1" t="str">
        <f ca="1">IFERROR(__xludf.DUMMYFUNCTION("""COMPUTED_VALUE"""),"Бийск")</f>
        <v>Бийск</v>
      </c>
      <c r="N55" s="1"/>
      <c r="O55" s="1" t="str">
        <f ca="1">IFERROR(__xludf.DUMMYFUNCTION("""COMPUTED_VALUE"""),"Акулов В.Н., Шевцова Е.В.")</f>
        <v>Акулов В.Н., Шевцова Е.В.</v>
      </c>
    </row>
    <row r="56" spans="1:17">
      <c r="A56" s="44"/>
      <c r="B56" s="44"/>
      <c r="C56" s="1">
        <f ca="1">IFERROR(__xludf.DUMMYFUNCTION("""COMPUTED_VALUE"""),53)</f>
        <v>53</v>
      </c>
      <c r="D56" s="1">
        <f ca="1">IFERROR(__xludf.DUMMYFUNCTION("""COMPUTED_VALUE"""),53)</f>
        <v>53</v>
      </c>
      <c r="E56" s="1"/>
      <c r="F56" s="1">
        <f ca="1">IFERROR(__xludf.DUMMYFUNCTION("""COMPUTED_VALUE"""),20)</f>
        <v>20</v>
      </c>
      <c r="G56" s="1" t="str">
        <f ca="1">IFERROR(__xludf.DUMMYFUNCTION("""COMPUTED_VALUE"""),"КОНОНОВ Никита")</f>
        <v>КОНОНОВ Никита</v>
      </c>
      <c r="H56" s="1" t="str">
        <f ca="1">IFERROR(__xludf.DUMMYFUNCTION("""COMPUTED_VALUE"""),"КОНОНОВ Никита Русланович")</f>
        <v>КОНОНОВ Никита Русланович</v>
      </c>
      <c r="I56" s="1" t="str">
        <f ca="1">IFERROR(__xludf.DUMMYFUNCTION("""COMPUTED_VALUE"""),"10.07.10, 2юн")</f>
        <v>10.07.10, 2юн</v>
      </c>
      <c r="J56" s="1" t="str">
        <f ca="1">IFERROR(__xludf.DUMMYFUNCTION("""COMPUTED_VALUE"""),"2юн")</f>
        <v>2юн</v>
      </c>
      <c r="K56" s="1" t="str">
        <f ca="1">IFERROR(__xludf.DUMMYFUNCTION("""COMPUTED_VALUE"""),"СФО")</f>
        <v>СФО</v>
      </c>
      <c r="L56" s="1" t="str">
        <f ca="1">IFERROR(__xludf.DUMMYFUNCTION("""COMPUTED_VALUE"""),"Шипуново , МКУДО Шипуновская СШ ")</f>
        <v xml:space="preserve">Шипуново , МКУДО Шипуновская СШ </v>
      </c>
      <c r="M56" s="1" t="str">
        <f ca="1">IFERROR(__xludf.DUMMYFUNCTION("""COMPUTED_VALUE"""),"Шипуново ")</f>
        <v xml:space="preserve">Шипуново </v>
      </c>
      <c r="N56" s="1"/>
      <c r="O56" s="1" t="str">
        <f ca="1">IFERROR(__xludf.DUMMYFUNCTION("""COMPUTED_VALUE"""),"Курочка Д.В. Шаталов В.Н.")</f>
        <v>Курочка Д.В. Шаталов В.Н.</v>
      </c>
    </row>
    <row r="57" spans="1:17">
      <c r="A57" s="44"/>
      <c r="B57" s="44"/>
      <c r="C57" s="1">
        <f ca="1">IFERROR(__xludf.DUMMYFUNCTION("""COMPUTED_VALUE"""),53)</f>
        <v>53</v>
      </c>
      <c r="D57" s="1">
        <f ca="1">IFERROR(__xludf.DUMMYFUNCTION("""COMPUTED_VALUE"""),53)</f>
        <v>53</v>
      </c>
      <c r="E57" s="1"/>
      <c r="F57" s="1">
        <f ca="1">IFERROR(__xludf.DUMMYFUNCTION("""COMPUTED_VALUE"""),21)</f>
        <v>21</v>
      </c>
      <c r="G57" s="1" t="str">
        <f ca="1">IFERROR(__xludf.DUMMYFUNCTION("""COMPUTED_VALUE"""),"БЕЛЯЕВ Александр ")</f>
        <v xml:space="preserve">БЕЛЯЕВ Александр </v>
      </c>
      <c r="H57" s="1" t="str">
        <f ca="1">IFERROR(__xludf.DUMMYFUNCTION("""COMPUTED_VALUE"""),"БЕЛЯЕВ Александр  Дмитриевич ")</f>
        <v xml:space="preserve">БЕЛЯЕВ Александр  Дмитриевич </v>
      </c>
      <c r="I57" s="1" t="str">
        <f ca="1">IFERROR(__xludf.DUMMYFUNCTION("""COMPUTED_VALUE"""),"14.05.10, 3юн")</f>
        <v>14.05.10, 3юн</v>
      </c>
      <c r="J57" s="1" t="str">
        <f ca="1">IFERROR(__xludf.DUMMYFUNCTION("""COMPUTED_VALUE"""),"3юн")</f>
        <v>3юн</v>
      </c>
      <c r="K57" s="1" t="str">
        <f ca="1">IFERROR(__xludf.DUMMYFUNCTION("""COMPUTED_VALUE"""),"СФО")</f>
        <v>СФО</v>
      </c>
      <c r="L57" s="1" t="str">
        <f ca="1">IFERROR(__xludf.DUMMYFUNCTION("""COMPUTED_VALUE"""),"Тальменка, Тальменская ДЮСШ")</f>
        <v>Тальменка, Тальменская ДЮСШ</v>
      </c>
      <c r="M57" s="1" t="str">
        <f ca="1">IFERROR(__xludf.DUMMYFUNCTION("""COMPUTED_VALUE"""),"Тальменка")</f>
        <v>Тальменка</v>
      </c>
      <c r="N57" s="1"/>
      <c r="O57" s="1" t="str">
        <f ca="1">IFERROR(__xludf.DUMMYFUNCTION("""COMPUTED_VALUE"""),"Аверин В.В.")</f>
        <v>Аверин В.В.</v>
      </c>
    </row>
    <row r="58" spans="1:17">
      <c r="A58" s="44"/>
      <c r="B58" s="44"/>
      <c r="C58" s="1">
        <f ca="1">IFERROR(__xludf.DUMMYFUNCTION("""COMPUTED_VALUE"""),53)</f>
        <v>53</v>
      </c>
      <c r="D58" s="1">
        <f ca="1">IFERROR(__xludf.DUMMYFUNCTION("""COMPUTED_VALUE"""),53)</f>
        <v>53</v>
      </c>
      <c r="E58" s="1"/>
      <c r="F58" s="1">
        <f ca="1">IFERROR(__xludf.DUMMYFUNCTION("""COMPUTED_VALUE"""),22)</f>
        <v>22</v>
      </c>
      <c r="G58" s="1" t="str">
        <f ca="1">IFERROR(__xludf.DUMMYFUNCTION("""COMPUTED_VALUE"""),"КУЗЬМИН  Клим ")</f>
        <v xml:space="preserve">КУЗЬМИН  Клим </v>
      </c>
      <c r="H58" s="1" t="str">
        <f ca="1">IFERROR(__xludf.DUMMYFUNCTION("""COMPUTED_VALUE"""),"КУЗЬМИН  Клим  Евгеньевич ")</f>
        <v xml:space="preserve">КУЗЬМИН  Клим  Евгеньевич </v>
      </c>
      <c r="I58" s="1" t="str">
        <f ca="1">IFERROR(__xludf.DUMMYFUNCTION("""COMPUTED_VALUE"""),"22.10.10, 1юн")</f>
        <v>22.10.10, 1юн</v>
      </c>
      <c r="J58" s="1" t="str">
        <f ca="1">IFERROR(__xludf.DUMMYFUNCTION("""COMPUTED_VALUE"""),"1юн")</f>
        <v>1юн</v>
      </c>
      <c r="K58" s="1" t="str">
        <f ca="1">IFERROR(__xludf.DUMMYFUNCTION("""COMPUTED_VALUE"""),"СФО")</f>
        <v>СФО</v>
      </c>
      <c r="L58" s="1" t="str">
        <f ca="1">IFERROR(__xludf.DUMMYFUNCTION("""COMPUTED_VALUE"""),"Барнаул , КСШОР ")</f>
        <v xml:space="preserve">Барнаул , КСШОР </v>
      </c>
      <c r="M58" s="1" t="str">
        <f ca="1">IFERROR(__xludf.DUMMYFUNCTION("""COMPUTED_VALUE"""),"Барнаул ")</f>
        <v xml:space="preserve">Барнаул </v>
      </c>
      <c r="N58" s="1"/>
      <c r="O58" s="1" t="str">
        <f ca="1">IFERROR(__xludf.DUMMYFUNCTION("""COMPUTED_VALUE"""),"Хоружев А.И. ")</f>
        <v xml:space="preserve">Хоружев А.И. </v>
      </c>
    </row>
    <row r="59" spans="1:17">
      <c r="A59" s="44"/>
      <c r="B59" s="44"/>
      <c r="C59" s="1">
        <f ca="1">IFERROR(__xludf.DUMMYFUNCTION("""COMPUTED_VALUE"""),58)</f>
        <v>58</v>
      </c>
      <c r="D59" s="1">
        <f ca="1">IFERROR(__xludf.DUMMYFUNCTION("""COMPUTED_VALUE"""),58)</f>
        <v>58</v>
      </c>
      <c r="E59" s="1"/>
      <c r="F59" s="1">
        <f ca="1">IFERROR(__xludf.DUMMYFUNCTION("""COMPUTED_VALUE"""),1)</f>
        <v>1</v>
      </c>
      <c r="G59" s="1" t="str">
        <f ca="1">IFERROR(__xludf.DUMMYFUNCTION("""COMPUTED_VALUE"""),"РАССКАЗОВ Егор")</f>
        <v>РАССКАЗОВ Егор</v>
      </c>
      <c r="H59" s="1" t="str">
        <f ca="1">IFERROR(__xludf.DUMMYFUNCTION("""COMPUTED_VALUE"""),"РАССКАЗОВ Егор Денисович")</f>
        <v>РАССКАЗОВ Егор Денисович</v>
      </c>
      <c r="I59" s="1" t="str">
        <f ca="1">IFERROR(__xludf.DUMMYFUNCTION("""COMPUTED_VALUE"""),"20.06.10, 3юн")</f>
        <v>20.06.10, 3юн</v>
      </c>
      <c r="J59" s="1" t="str">
        <f ca="1">IFERROR(__xludf.DUMMYFUNCTION("""COMPUTED_VALUE"""),"3юн")</f>
        <v>3юн</v>
      </c>
      <c r="K59" s="1" t="str">
        <f ca="1">IFERROR(__xludf.DUMMYFUNCTION("""COMPUTED_VALUE"""),"СФО")</f>
        <v>СФО</v>
      </c>
      <c r="L59" s="1" t="str">
        <f ca="1">IFERROR(__xludf.DUMMYFUNCTION("""COMPUTED_VALUE"""),"Бийск , СШОР №3 им.А.Гуляева")</f>
        <v>Бийск , СШОР №3 им.А.Гуляева</v>
      </c>
      <c r="M59" s="1" t="str">
        <f ca="1">IFERROR(__xludf.DUMMYFUNCTION("""COMPUTED_VALUE"""),"Бийск ")</f>
        <v xml:space="preserve">Бийск </v>
      </c>
      <c r="N59" s="1"/>
      <c r="O59" s="1" t="str">
        <f ca="1">IFERROR(__xludf.DUMMYFUNCTION("""COMPUTED_VALUE"""),"Гаврилов В.В., Асадова А.В.")</f>
        <v>Гаврилов В.В., Асадова А.В.</v>
      </c>
    </row>
    <row r="60" spans="1:17">
      <c r="A60" s="44"/>
      <c r="B60" s="44"/>
      <c r="C60" s="1">
        <f ca="1">IFERROR(__xludf.DUMMYFUNCTION("""COMPUTED_VALUE"""),58)</f>
        <v>58</v>
      </c>
      <c r="D60" s="1">
        <f ca="1">IFERROR(__xludf.DUMMYFUNCTION("""COMPUTED_VALUE"""),58)</f>
        <v>58</v>
      </c>
      <c r="E60" s="1"/>
      <c r="F60" s="1">
        <f ca="1">IFERROR(__xludf.DUMMYFUNCTION("""COMPUTED_VALUE"""),2)</f>
        <v>2</v>
      </c>
      <c r="G60" s="1" t="str">
        <f ca="1">IFERROR(__xludf.DUMMYFUNCTION("""COMPUTED_VALUE"""),"РОГОВ Максим")</f>
        <v>РОГОВ Максим</v>
      </c>
      <c r="H60" s="1" t="str">
        <f ca="1">IFERROR(__xludf.DUMMYFUNCTION("""COMPUTED_VALUE"""),"РОГОВ Максим Вадимович")</f>
        <v>РОГОВ Максим Вадимович</v>
      </c>
      <c r="I60" s="1" t="str">
        <f ca="1">IFERROR(__xludf.DUMMYFUNCTION("""COMPUTED_VALUE"""),"02.02.11, 2юн")</f>
        <v>02.02.11, 2юн</v>
      </c>
      <c r="J60" s="1" t="str">
        <f ca="1">IFERROR(__xludf.DUMMYFUNCTION("""COMPUTED_VALUE"""),"2юн")</f>
        <v>2юн</v>
      </c>
      <c r="K60" s="1" t="str">
        <f ca="1">IFERROR(__xludf.DUMMYFUNCTION("""COMPUTED_VALUE"""),"СФО")</f>
        <v>СФО</v>
      </c>
      <c r="L60" s="1" t="str">
        <f ca="1">IFERROR(__xludf.DUMMYFUNCTION("""COMPUTED_VALUE"""),"Заринск, СК ""Метеор+""")</f>
        <v>Заринск, СК "Метеор+"</v>
      </c>
      <c r="M60" s="1" t="str">
        <f ca="1">IFERROR(__xludf.DUMMYFUNCTION("""COMPUTED_VALUE"""),"Заринск")</f>
        <v>Заринск</v>
      </c>
      <c r="N60" s="1"/>
      <c r="O60" s="1" t="str">
        <f ca="1">IFERROR(__xludf.DUMMYFUNCTION("""COMPUTED_VALUE"""),"Казанцев А. Е., Казанцева Л. С")</f>
        <v>Казанцев А. Е., Казанцева Л. С</v>
      </c>
    </row>
    <row r="61" spans="1:17">
      <c r="A61" s="44"/>
      <c r="B61" s="44"/>
      <c r="C61" s="1">
        <f ca="1">IFERROR(__xludf.DUMMYFUNCTION("""COMPUTED_VALUE"""),58)</f>
        <v>58</v>
      </c>
      <c r="D61" s="1">
        <f ca="1">IFERROR(__xludf.DUMMYFUNCTION("""COMPUTED_VALUE"""),58)</f>
        <v>58</v>
      </c>
      <c r="E61" s="1"/>
      <c r="F61" s="1">
        <f ca="1">IFERROR(__xludf.DUMMYFUNCTION("""COMPUTED_VALUE"""),3)</f>
        <v>3</v>
      </c>
      <c r="G61" s="1" t="str">
        <f ca="1">IFERROR(__xludf.DUMMYFUNCTION("""COMPUTED_VALUE"""),"ТОНОЯН Эрик")</f>
        <v>ТОНОЯН Эрик</v>
      </c>
      <c r="H61" s="1" t="str">
        <f ca="1">IFERROR(__xludf.DUMMYFUNCTION("""COMPUTED_VALUE"""),"ТОНОЯН Эрик Эдгарович")</f>
        <v>ТОНОЯН Эрик Эдгарович</v>
      </c>
      <c r="I61" s="1" t="str">
        <f ca="1">IFERROR(__xludf.DUMMYFUNCTION("""COMPUTED_VALUE"""),"13.01.10, 2юн")</f>
        <v>13.01.10, 2юн</v>
      </c>
      <c r="J61" s="1" t="str">
        <f ca="1">IFERROR(__xludf.DUMMYFUNCTION("""COMPUTED_VALUE"""),"2юн")</f>
        <v>2юн</v>
      </c>
      <c r="K61" s="1" t="str">
        <f ca="1">IFERROR(__xludf.DUMMYFUNCTION("""COMPUTED_VALUE"""),"СФО")</f>
        <v>СФО</v>
      </c>
      <c r="L61" s="1" t="str">
        <f ca="1">IFERROR(__xludf.DUMMYFUNCTION("""COMPUTED_VALUE"""),"г. Змеиногорс , МБУДО,, Змеиногорская СШ """)</f>
        <v>г. Змеиногорс , МБУДО,, Змеиногорская СШ "</v>
      </c>
      <c r="M61" s="1" t="str">
        <f ca="1">IFERROR(__xludf.DUMMYFUNCTION("""COMPUTED_VALUE"""),"г. Змеиногорс ")</f>
        <v xml:space="preserve">г. Змеиногорс </v>
      </c>
      <c r="N61" s="1"/>
      <c r="O61" s="1" t="str">
        <f ca="1">IFERROR(__xludf.DUMMYFUNCTION("""COMPUTED_VALUE"""),"Ломиворотов Сергей Сергеевич ")</f>
        <v xml:space="preserve">Ломиворотов Сергей Сергеевич </v>
      </c>
    </row>
    <row r="62" spans="1:17">
      <c r="A62" s="44"/>
      <c r="B62" s="44"/>
      <c r="C62" s="1">
        <f ca="1">IFERROR(__xludf.DUMMYFUNCTION("""COMPUTED_VALUE"""),58)</f>
        <v>58</v>
      </c>
      <c r="D62" s="1">
        <f ca="1">IFERROR(__xludf.DUMMYFUNCTION("""COMPUTED_VALUE"""),58)</f>
        <v>58</v>
      </c>
      <c r="E62" s="1"/>
      <c r="F62" s="1">
        <f ca="1">IFERROR(__xludf.DUMMYFUNCTION("""COMPUTED_VALUE"""),4)</f>
        <v>4</v>
      </c>
      <c r="G62" s="1" t="str">
        <f ca="1">IFERROR(__xludf.DUMMYFUNCTION("""COMPUTED_VALUE"""),"КОСИЛОВ Артем")</f>
        <v>КОСИЛОВ Артем</v>
      </c>
      <c r="H62" s="1" t="str">
        <f ca="1">IFERROR(__xludf.DUMMYFUNCTION("""COMPUTED_VALUE"""),"КОСИЛОВ Артем Александрович")</f>
        <v>КОСИЛОВ Артем Александрович</v>
      </c>
      <c r="I62" s="1" t="str">
        <f ca="1">IFERROR(__xludf.DUMMYFUNCTION("""COMPUTED_VALUE"""),"14.03.09, 1юн")</f>
        <v>14.03.09, 1юн</v>
      </c>
      <c r="J62" s="1" t="str">
        <f ca="1">IFERROR(__xludf.DUMMYFUNCTION("""COMPUTED_VALUE"""),"1юн")</f>
        <v>1юн</v>
      </c>
      <c r="K62" s="1" t="str">
        <f ca="1">IFERROR(__xludf.DUMMYFUNCTION("""COMPUTED_VALUE"""),"СФО")</f>
        <v>СФО</v>
      </c>
      <c r="L62" s="1" t="str">
        <f ca="1">IFERROR(__xludf.DUMMYFUNCTION("""COMPUTED_VALUE"""),"Мамонтово, Мамонтовская СШ")</f>
        <v>Мамонтово, Мамонтовская СШ</v>
      </c>
      <c r="M62" s="1" t="str">
        <f ca="1">IFERROR(__xludf.DUMMYFUNCTION("""COMPUTED_VALUE"""),"Мамонтово")</f>
        <v>Мамонтово</v>
      </c>
      <c r="N62" s="1"/>
      <c r="O62" s="1" t="str">
        <f ca="1">IFERROR(__xludf.DUMMYFUNCTION("""COMPUTED_VALUE"""),"Гроо В.В.")</f>
        <v>Гроо В.В.</v>
      </c>
    </row>
    <row r="63" spans="1:17">
      <c r="A63" s="44"/>
      <c r="B63" s="44"/>
      <c r="C63" s="1">
        <f ca="1">IFERROR(__xludf.DUMMYFUNCTION("""COMPUTED_VALUE"""),58)</f>
        <v>58</v>
      </c>
      <c r="D63" s="1">
        <f ca="1">IFERROR(__xludf.DUMMYFUNCTION("""COMPUTED_VALUE"""),58)</f>
        <v>58</v>
      </c>
      <c r="E63" s="1"/>
      <c r="F63" s="1">
        <f ca="1">IFERROR(__xludf.DUMMYFUNCTION("""COMPUTED_VALUE"""),5)</f>
        <v>5</v>
      </c>
      <c r="G63" s="1" t="str">
        <f ca="1">IFERROR(__xludf.DUMMYFUNCTION("""COMPUTED_VALUE"""),"СОЛОПОВ Кирилл")</f>
        <v>СОЛОПОВ Кирилл</v>
      </c>
      <c r="H63" s="1" t="str">
        <f ca="1">IFERROR(__xludf.DUMMYFUNCTION("""COMPUTED_VALUE"""),"СОЛОПОВ Кирилл Андреевич")</f>
        <v>СОЛОПОВ Кирилл Андреевич</v>
      </c>
      <c r="I63" s="1" t="str">
        <f ca="1">IFERROR(__xludf.DUMMYFUNCTION("""COMPUTED_VALUE"""),"13.05.10, 1юн")</f>
        <v>13.05.10, 1юн</v>
      </c>
      <c r="J63" s="1" t="str">
        <f ca="1">IFERROR(__xludf.DUMMYFUNCTION("""COMPUTED_VALUE"""),"1юн")</f>
        <v>1юн</v>
      </c>
      <c r="K63" s="1" t="str">
        <f ca="1">IFERROR(__xludf.DUMMYFUNCTION("""COMPUTED_VALUE"""),"СФО")</f>
        <v>СФО</v>
      </c>
      <c r="L63" s="1" t="str">
        <f ca="1">IFERROR(__xludf.DUMMYFUNCTION("""COMPUTED_VALUE"""),"Барнаул, КСШОР")</f>
        <v>Барнаул, КСШОР</v>
      </c>
      <c r="M63" s="1" t="str">
        <f ca="1">IFERROR(__xludf.DUMMYFUNCTION("""COMPUTED_VALUE"""),"Барнаул")</f>
        <v>Барнаул</v>
      </c>
      <c r="N63" s="1"/>
      <c r="O63" s="1" t="str">
        <f ca="1">IFERROR(__xludf.DUMMYFUNCTION("""COMPUTED_VALUE"""),"Мелихов Р.С.")</f>
        <v>Мелихов Р.С.</v>
      </c>
    </row>
    <row r="64" spans="1:17">
      <c r="A64" s="44"/>
      <c r="B64" s="44"/>
      <c r="C64" s="1">
        <f ca="1">IFERROR(__xludf.DUMMYFUNCTION("""COMPUTED_VALUE"""),58)</f>
        <v>58</v>
      </c>
      <c r="D64" s="1">
        <f ca="1">IFERROR(__xludf.DUMMYFUNCTION("""COMPUTED_VALUE"""),58)</f>
        <v>58</v>
      </c>
      <c r="E64" s="1"/>
      <c r="F64" s="1">
        <f ca="1">IFERROR(__xludf.DUMMYFUNCTION("""COMPUTED_VALUE"""),6)</f>
        <v>6</v>
      </c>
      <c r="G64" s="1" t="str">
        <f ca="1">IFERROR(__xludf.DUMMYFUNCTION("""COMPUTED_VALUE"""),"БУТОВ Дмитрий ")</f>
        <v xml:space="preserve">БУТОВ Дмитрий </v>
      </c>
      <c r="H64" s="1" t="str">
        <f ca="1">IFERROR(__xludf.DUMMYFUNCTION("""COMPUTED_VALUE"""),"БУТОВ Дмитрий  Александрович ")</f>
        <v xml:space="preserve">БУТОВ Дмитрий  Александрович </v>
      </c>
      <c r="I64" s="1" t="str">
        <f ca="1">IFERROR(__xludf.DUMMYFUNCTION("""COMPUTED_VALUE"""),"01.11.10, 3юн")</f>
        <v>01.11.10, 3юн</v>
      </c>
      <c r="J64" s="1" t="str">
        <f ca="1">IFERROR(__xludf.DUMMYFUNCTION("""COMPUTED_VALUE"""),"3юн")</f>
        <v>3юн</v>
      </c>
      <c r="K64" s="1" t="str">
        <f ca="1">IFERROR(__xludf.DUMMYFUNCTION("""COMPUTED_VALUE"""),"СФО")</f>
        <v>СФО</v>
      </c>
      <c r="L64" s="1" t="str">
        <f ca="1">IFERROR(__xludf.DUMMYFUNCTION("""COMPUTED_VALUE"""),"Бийск , СШОР №3 им.А.Гуляева")</f>
        <v>Бийск , СШОР №3 им.А.Гуляева</v>
      </c>
      <c r="M64" s="1" t="str">
        <f ca="1">IFERROR(__xludf.DUMMYFUNCTION("""COMPUTED_VALUE"""),"Бийск ")</f>
        <v xml:space="preserve">Бийск </v>
      </c>
      <c r="N64" s="1"/>
      <c r="O64" s="1" t="str">
        <f ca="1">IFERROR(__xludf.DUMMYFUNCTION("""COMPUTED_VALUE"""),"Гаврилов В.В., Асадова А.В.")</f>
        <v>Гаврилов В.В., Асадова А.В.</v>
      </c>
    </row>
    <row r="65" spans="1:15">
      <c r="A65" s="44"/>
      <c r="B65" s="44"/>
      <c r="C65" s="1">
        <f ca="1">IFERROR(__xludf.DUMMYFUNCTION("""COMPUTED_VALUE"""),58)</f>
        <v>58</v>
      </c>
      <c r="D65" s="1">
        <f ca="1">IFERROR(__xludf.DUMMYFUNCTION("""COMPUTED_VALUE"""),58)</f>
        <v>58</v>
      </c>
      <c r="E65" s="1"/>
      <c r="F65" s="1">
        <f ca="1">IFERROR(__xludf.DUMMYFUNCTION("""COMPUTED_VALUE"""),7)</f>
        <v>7</v>
      </c>
      <c r="G65" s="1" t="str">
        <f ca="1">IFERROR(__xludf.DUMMYFUNCTION("""COMPUTED_VALUE"""),"КУЧЕГАНОВ Лев")</f>
        <v>КУЧЕГАНОВ Лев</v>
      </c>
      <c r="H65" s="1" t="str">
        <f ca="1">IFERROR(__xludf.DUMMYFUNCTION("""COMPUTED_VALUE"""),"КУЧЕГАНОВ Лев Александрович")</f>
        <v>КУЧЕГАНОВ Лев Александрович</v>
      </c>
      <c r="I65" s="1" t="str">
        <f ca="1">IFERROR(__xludf.DUMMYFUNCTION("""COMPUTED_VALUE"""),"28.12.10, 1юн")</f>
        <v>28.12.10, 1юн</v>
      </c>
      <c r="J65" s="1" t="str">
        <f ca="1">IFERROR(__xludf.DUMMYFUNCTION("""COMPUTED_VALUE"""),"1юн")</f>
        <v>1юн</v>
      </c>
      <c r="K65" s="1" t="str">
        <f ca="1">IFERROR(__xludf.DUMMYFUNCTION("""COMPUTED_VALUE"""),"СФО")</f>
        <v>СФО</v>
      </c>
      <c r="L65" s="1" t="str">
        <f ca="1">IFERROR(__xludf.DUMMYFUNCTION("""COMPUTED_VALUE"""),"Алтайское , МАУДО""АЛТАЙСКАЯ СШОР"" ")</f>
        <v xml:space="preserve">Алтайское , МАУДО"АЛТАЙСКАЯ СШОР" </v>
      </c>
      <c r="M65" s="1" t="str">
        <f ca="1">IFERROR(__xludf.DUMMYFUNCTION("""COMPUTED_VALUE"""),"Алтайское ")</f>
        <v xml:space="preserve">Алтайское </v>
      </c>
      <c r="N65" s="1"/>
      <c r="O65" s="1" t="str">
        <f ca="1">IFERROR(__xludf.DUMMYFUNCTION("""COMPUTED_VALUE"""),"Кандауров А. Н.")</f>
        <v>Кандауров А. Н.</v>
      </c>
    </row>
    <row r="66" spans="1:15">
      <c r="A66" s="44"/>
      <c r="B66" s="44"/>
      <c r="C66" s="1">
        <f ca="1">IFERROR(__xludf.DUMMYFUNCTION("""COMPUTED_VALUE"""),58)</f>
        <v>58</v>
      </c>
      <c r="D66" s="1">
        <f ca="1">IFERROR(__xludf.DUMMYFUNCTION("""COMPUTED_VALUE"""),58)</f>
        <v>58</v>
      </c>
      <c r="E66" s="1"/>
      <c r="F66" s="1">
        <f ca="1">IFERROR(__xludf.DUMMYFUNCTION("""COMPUTED_VALUE"""),8)</f>
        <v>8</v>
      </c>
      <c r="G66" s="1" t="str">
        <f ca="1">IFERROR(__xludf.DUMMYFUNCTION("""COMPUTED_VALUE"""),"ГРЕБЕНКИН Кирилл")</f>
        <v>ГРЕБЕНКИН Кирилл</v>
      </c>
      <c r="H66" s="1" t="str">
        <f ca="1">IFERROR(__xludf.DUMMYFUNCTION("""COMPUTED_VALUE"""),"ГРЕБЕНКИН Кирилл Сергеевич")</f>
        <v>ГРЕБЕНКИН Кирилл Сергеевич</v>
      </c>
      <c r="I66" s="1" t="str">
        <f ca="1">IFERROR(__xludf.DUMMYFUNCTION("""COMPUTED_VALUE"""),"22.10.09, 3сп")</f>
        <v>22.10.09, 3сп</v>
      </c>
      <c r="J66" s="1" t="str">
        <f ca="1">IFERROR(__xludf.DUMMYFUNCTION("""COMPUTED_VALUE"""),"3сп")</f>
        <v>3сп</v>
      </c>
      <c r="K66" s="1" t="str">
        <f ca="1">IFERROR(__xludf.DUMMYFUNCTION("""COMPUTED_VALUE"""),"СФО")</f>
        <v>СФО</v>
      </c>
      <c r="L66" s="1" t="str">
        <f ca="1">IFERROR(__xludf.DUMMYFUNCTION("""COMPUTED_VALUE"""),"Заринск, СК ""Метеор+""")</f>
        <v>Заринск, СК "Метеор+"</v>
      </c>
      <c r="M66" s="1" t="str">
        <f ca="1">IFERROR(__xludf.DUMMYFUNCTION("""COMPUTED_VALUE"""),"Заринск")</f>
        <v>Заринск</v>
      </c>
      <c r="N66" s="1"/>
      <c r="O66" s="1" t="str">
        <f ca="1">IFERROR(__xludf.DUMMYFUNCTION("""COMPUTED_VALUE"""),"Казанцев А. Е., Казанцева Л. С")</f>
        <v>Казанцев А. Е., Казанцева Л. С</v>
      </c>
    </row>
    <row r="67" spans="1:15">
      <c r="A67" s="44"/>
      <c r="B67" s="44"/>
      <c r="C67" s="1">
        <f ca="1">IFERROR(__xludf.DUMMYFUNCTION("""COMPUTED_VALUE"""),58)</f>
        <v>58</v>
      </c>
      <c r="D67" s="1">
        <f ca="1">IFERROR(__xludf.DUMMYFUNCTION("""COMPUTED_VALUE"""),58)</f>
        <v>58</v>
      </c>
      <c r="E67" s="1"/>
      <c r="F67" s="1">
        <f ca="1">IFERROR(__xludf.DUMMYFUNCTION("""COMPUTED_VALUE"""),9)</f>
        <v>9</v>
      </c>
      <c r="G67" s="1" t="str">
        <f ca="1">IFERROR(__xludf.DUMMYFUNCTION("""COMPUTED_VALUE"""),"МАСЛЮК Андрей")</f>
        <v>МАСЛЮК Андрей</v>
      </c>
      <c r="H67" s="1" t="str">
        <f ca="1">IFERROR(__xludf.DUMMYFUNCTION("""COMPUTED_VALUE"""),"МАСЛЮК Андрей Павлович")</f>
        <v>МАСЛЮК Андрей Павлович</v>
      </c>
      <c r="I67" s="1" t="str">
        <f ca="1">IFERROR(__xludf.DUMMYFUNCTION("""COMPUTED_VALUE"""),"22.04.09, 1сп")</f>
        <v>22.04.09, 1сп</v>
      </c>
      <c r="J67" s="1" t="str">
        <f ca="1">IFERROR(__xludf.DUMMYFUNCTION("""COMPUTED_VALUE"""),"1сп")</f>
        <v>1сп</v>
      </c>
      <c r="K67" s="1" t="str">
        <f ca="1">IFERROR(__xludf.DUMMYFUNCTION("""COMPUTED_VALUE"""),"СФО")</f>
        <v>СФО</v>
      </c>
      <c r="L67" s="1" t="str">
        <f ca="1">IFERROR(__xludf.DUMMYFUNCTION("""COMPUTED_VALUE"""),"Бийск, ""СШОР N°3"" им. А. Гуляева")</f>
        <v>Бийск, "СШОР N°3" им. А. Гуляева</v>
      </c>
      <c r="M67" s="1" t="str">
        <f ca="1">IFERROR(__xludf.DUMMYFUNCTION("""COMPUTED_VALUE"""),"Бийск")</f>
        <v>Бийск</v>
      </c>
      <c r="N67" s="1"/>
      <c r="O67" s="1" t="str">
        <f ca="1">IFERROR(__xludf.DUMMYFUNCTION("""COMPUTED_VALUE"""),"Демьяненко С.А., Евтушенко Д.Ю.")</f>
        <v>Демьяненко С.А., Евтушенко Д.Ю.</v>
      </c>
    </row>
    <row r="68" spans="1:15">
      <c r="A68" s="44"/>
      <c r="B68" s="44"/>
      <c r="C68" s="1">
        <f ca="1">IFERROR(__xludf.DUMMYFUNCTION("""COMPUTED_VALUE"""),58)</f>
        <v>58</v>
      </c>
      <c r="D68" s="1">
        <f ca="1">IFERROR(__xludf.DUMMYFUNCTION("""COMPUTED_VALUE"""),58)</f>
        <v>58</v>
      </c>
      <c r="E68" s="1"/>
      <c r="F68" s="1">
        <f ca="1">IFERROR(__xludf.DUMMYFUNCTION("""COMPUTED_VALUE"""),10)</f>
        <v>10</v>
      </c>
      <c r="G68" s="1" t="str">
        <f ca="1">IFERROR(__xludf.DUMMYFUNCTION("""COMPUTED_VALUE"""),"ГРЕБЕЛЬНЫЙ  Артем ")</f>
        <v xml:space="preserve">ГРЕБЕЛЬНЫЙ  Артем </v>
      </c>
      <c r="H68" s="1" t="str">
        <f ca="1">IFERROR(__xludf.DUMMYFUNCTION("""COMPUTED_VALUE"""),"ГРЕБЕЛЬНЫЙ  Артем  Романович ")</f>
        <v xml:space="preserve">ГРЕБЕЛЬНЫЙ  Артем  Романович </v>
      </c>
      <c r="I68" s="1" t="str">
        <f ca="1">IFERROR(__xludf.DUMMYFUNCTION("""COMPUTED_VALUE"""),"03.11.09, 2юн")</f>
        <v>03.11.09, 2юн</v>
      </c>
      <c r="J68" s="1" t="str">
        <f ca="1">IFERROR(__xludf.DUMMYFUNCTION("""COMPUTED_VALUE"""),"2юн")</f>
        <v>2юн</v>
      </c>
      <c r="K68" s="1" t="str">
        <f ca="1">IFERROR(__xludf.DUMMYFUNCTION("""COMPUTED_VALUE"""),"СФО")</f>
        <v>СФО</v>
      </c>
      <c r="L68" s="1" t="str">
        <f ca="1">IFERROR(__xludf.DUMMYFUNCTION("""COMPUTED_VALUE"""),"р.п. Благовещенка, Благовещенская ДЮСШ ")</f>
        <v xml:space="preserve">р.п. Благовещенка, Благовещенская ДЮСШ </v>
      </c>
      <c r="M68" s="1" t="str">
        <f ca="1">IFERROR(__xludf.DUMMYFUNCTION("""COMPUTED_VALUE"""),"р.п. Благовещенка")</f>
        <v>р.п. Благовещенка</v>
      </c>
      <c r="N68" s="1"/>
      <c r="O68" s="1" t="str">
        <f ca="1">IFERROR(__xludf.DUMMYFUNCTION("""COMPUTED_VALUE"""),"Екименко А.В.   Данильченко Е.В.")</f>
        <v>Екименко А.В.   Данильченко Е.В.</v>
      </c>
    </row>
    <row r="69" spans="1:15">
      <c r="A69" s="44"/>
      <c r="B69" s="44"/>
      <c r="C69" s="1">
        <f ca="1">IFERROR(__xludf.DUMMYFUNCTION("""COMPUTED_VALUE"""),58)</f>
        <v>58</v>
      </c>
      <c r="D69" s="1">
        <f ca="1">IFERROR(__xludf.DUMMYFUNCTION("""COMPUTED_VALUE"""),58)</f>
        <v>58</v>
      </c>
      <c r="E69" s="1"/>
      <c r="F69" s="1">
        <f ca="1">IFERROR(__xludf.DUMMYFUNCTION("""COMPUTED_VALUE"""),11)</f>
        <v>11</v>
      </c>
      <c r="G69" s="1" t="str">
        <f ca="1">IFERROR(__xludf.DUMMYFUNCTION("""COMPUTED_VALUE"""),"ГРИГОРОВ Сергей")</f>
        <v>ГРИГОРОВ Сергей</v>
      </c>
      <c r="H69" s="1" t="str">
        <f ca="1">IFERROR(__xludf.DUMMYFUNCTION("""COMPUTED_VALUE"""),"ГРИГОРОВ Сергей Андреевич")</f>
        <v>ГРИГОРОВ Сергей Андреевич</v>
      </c>
      <c r="I69" s="1" t="str">
        <f ca="1">IFERROR(__xludf.DUMMYFUNCTION("""COMPUTED_VALUE"""),"29.08.09, 1юн")</f>
        <v>29.08.09, 1юн</v>
      </c>
      <c r="J69" s="1" t="str">
        <f ca="1">IFERROR(__xludf.DUMMYFUNCTION("""COMPUTED_VALUE"""),"1юн")</f>
        <v>1юн</v>
      </c>
      <c r="K69" s="1" t="str">
        <f ca="1">IFERROR(__xludf.DUMMYFUNCTION("""COMPUTED_VALUE"""),"СФО")</f>
        <v>СФО</v>
      </c>
      <c r="L69" s="1" t="str">
        <f ca="1">IFERROR(__xludf.DUMMYFUNCTION("""COMPUTED_VALUE"""),"Барнаул, СШ ИРБИС")</f>
        <v>Барнаул, СШ ИРБИС</v>
      </c>
      <c r="M69" s="1" t="str">
        <f ca="1">IFERROR(__xludf.DUMMYFUNCTION("""COMPUTED_VALUE"""),"Барнаул")</f>
        <v>Барнаул</v>
      </c>
      <c r="N69" s="1"/>
      <c r="O69" s="1" t="str">
        <f ca="1">IFERROR(__xludf.DUMMYFUNCTION("""COMPUTED_VALUE"""),"Торопынин А.Е")</f>
        <v>Торопынин А.Е</v>
      </c>
    </row>
    <row r="70" spans="1:15">
      <c r="A70" s="44"/>
      <c r="B70" s="44"/>
      <c r="C70" s="1">
        <f ca="1">IFERROR(__xludf.DUMMYFUNCTION("""COMPUTED_VALUE"""),58)</f>
        <v>58</v>
      </c>
      <c r="D70" s="1">
        <f ca="1">IFERROR(__xludf.DUMMYFUNCTION("""COMPUTED_VALUE"""),58)</f>
        <v>58</v>
      </c>
      <c r="E70" s="1"/>
      <c r="F70" s="1">
        <f ca="1">IFERROR(__xludf.DUMMYFUNCTION("""COMPUTED_VALUE"""),12)</f>
        <v>12</v>
      </c>
      <c r="G70" s="1" t="str">
        <f ca="1">IFERROR(__xludf.DUMMYFUNCTION("""COMPUTED_VALUE"""),"МАЙДУРОВ  Александр")</f>
        <v>МАЙДУРОВ  Александр</v>
      </c>
      <c r="H70" s="1" t="str">
        <f ca="1">IFERROR(__xludf.DUMMYFUNCTION("""COMPUTED_VALUE"""),"МАЙДУРОВ  Александр Владимирович")</f>
        <v>МАЙДУРОВ  Александр Владимирович</v>
      </c>
      <c r="I70" s="1" t="str">
        <f ca="1">IFERROR(__xludf.DUMMYFUNCTION("""COMPUTED_VALUE"""),"22.07.09, 2юн")</f>
        <v>22.07.09, 2юн</v>
      </c>
      <c r="J70" s="1" t="str">
        <f ca="1">IFERROR(__xludf.DUMMYFUNCTION("""COMPUTED_VALUE"""),"2юн")</f>
        <v>2юн</v>
      </c>
      <c r="K70" s="1" t="str">
        <f ca="1">IFERROR(__xludf.DUMMYFUNCTION("""COMPUTED_VALUE"""),"СФО")</f>
        <v>СФО</v>
      </c>
      <c r="L70" s="1" t="str">
        <f ca="1">IFERROR(__xludf.DUMMYFUNCTION("""COMPUTED_VALUE"""),"Бийск, МБУДО СШОР№3 имени А. Гуляева")</f>
        <v>Бийск, МБУДО СШОР№3 имени А. Гуляева</v>
      </c>
      <c r="M70" s="1" t="str">
        <f ca="1">IFERROR(__xludf.DUMMYFUNCTION("""COMPUTED_VALUE"""),"Бийск")</f>
        <v>Бийск</v>
      </c>
      <c r="N70" s="1"/>
      <c r="O70" s="1" t="str">
        <f ca="1">IFERROR(__xludf.DUMMYFUNCTION("""COMPUTED_VALUE"""),"Акулов В.Н., Шевцова Е.В.")</f>
        <v>Акулов В.Н., Шевцова Е.В.</v>
      </c>
    </row>
    <row r="71" spans="1:15">
      <c r="A71" s="44"/>
      <c r="B71" s="44"/>
      <c r="C71" s="1">
        <f ca="1">IFERROR(__xludf.DUMMYFUNCTION("""COMPUTED_VALUE"""),58)</f>
        <v>58</v>
      </c>
      <c r="D71" s="1">
        <f ca="1">IFERROR(__xludf.DUMMYFUNCTION("""COMPUTED_VALUE"""),58)</f>
        <v>58</v>
      </c>
      <c r="E71" s="1"/>
      <c r="F71" s="1">
        <f ca="1">IFERROR(__xludf.DUMMYFUNCTION("""COMPUTED_VALUE"""),13)</f>
        <v>13</v>
      </c>
      <c r="G71" s="1" t="str">
        <f ca="1">IFERROR(__xludf.DUMMYFUNCTION("""COMPUTED_VALUE"""),"ПЛОХОТИН Артём")</f>
        <v>ПЛОХОТИН Артём</v>
      </c>
      <c r="H71" s="1" t="str">
        <f ca="1">IFERROR(__xludf.DUMMYFUNCTION("""COMPUTED_VALUE"""),"ПЛОХОТИН Артём Викторович")</f>
        <v>ПЛОХОТИН Артём Викторович</v>
      </c>
      <c r="I71" s="1" t="str">
        <f ca="1">IFERROR(__xludf.DUMMYFUNCTION("""COMPUTED_VALUE"""),"01.06.11, 1юн")</f>
        <v>01.06.11, 1юн</v>
      </c>
      <c r="J71" s="1" t="str">
        <f ca="1">IFERROR(__xludf.DUMMYFUNCTION("""COMPUTED_VALUE"""),"1юн")</f>
        <v>1юн</v>
      </c>
      <c r="K71" s="1" t="str">
        <f ca="1">IFERROR(__xludf.DUMMYFUNCTION("""COMPUTED_VALUE"""),"СФО")</f>
        <v>СФО</v>
      </c>
      <c r="L71" s="1" t="str">
        <f ca="1">IFERROR(__xludf.DUMMYFUNCTION("""COMPUTED_VALUE"""),"Зональный район, Зональная ДЮСШ")</f>
        <v>Зональный район, Зональная ДЮСШ</v>
      </c>
      <c r="M71" s="1" t="str">
        <f ca="1">IFERROR(__xludf.DUMMYFUNCTION("""COMPUTED_VALUE"""),"Зональный район")</f>
        <v>Зональный район</v>
      </c>
      <c r="N71" s="1"/>
      <c r="O71" s="1" t="str">
        <f ca="1">IFERROR(__xludf.DUMMYFUNCTION("""COMPUTED_VALUE"""),"Шуликов Е.С. Шуликов А.С.")</f>
        <v>Шуликов Е.С. Шуликов А.С.</v>
      </c>
    </row>
    <row r="72" spans="1:15">
      <c r="A72" s="44"/>
      <c r="B72" s="44"/>
      <c r="C72" s="1">
        <f ca="1">IFERROR(__xludf.DUMMYFUNCTION("""COMPUTED_VALUE"""),58)</f>
        <v>58</v>
      </c>
      <c r="D72" s="1">
        <f ca="1">IFERROR(__xludf.DUMMYFUNCTION("""COMPUTED_VALUE"""),58)</f>
        <v>58</v>
      </c>
      <c r="E72" s="1"/>
      <c r="F72" s="1">
        <f ca="1">IFERROR(__xludf.DUMMYFUNCTION("""COMPUTED_VALUE"""),14)</f>
        <v>14</v>
      </c>
      <c r="G72" s="1" t="str">
        <f ca="1">IFERROR(__xludf.DUMMYFUNCTION("""COMPUTED_VALUE"""),"ЗВЕРЕВ  Дмитрий ")</f>
        <v xml:space="preserve">ЗВЕРЕВ  Дмитрий </v>
      </c>
      <c r="H72" s="1" t="str">
        <f ca="1">IFERROR(__xludf.DUMMYFUNCTION("""COMPUTED_VALUE"""),"ЗВЕРЕВ  Дмитрий  Евгеньевич")</f>
        <v>ЗВЕРЕВ  Дмитрий  Евгеньевич</v>
      </c>
      <c r="I72" s="1" t="str">
        <f ca="1">IFERROR(__xludf.DUMMYFUNCTION("""COMPUTED_VALUE"""),"23.11.09, 2юн")</f>
        <v>23.11.09, 2юн</v>
      </c>
      <c r="J72" s="1" t="str">
        <f ca="1">IFERROR(__xludf.DUMMYFUNCTION("""COMPUTED_VALUE"""),"2юн")</f>
        <v>2юн</v>
      </c>
      <c r="K72" s="1" t="str">
        <f ca="1">IFERROR(__xludf.DUMMYFUNCTION("""COMPUTED_VALUE"""),"СФО")</f>
        <v>СФО</v>
      </c>
      <c r="L72" s="1" t="str">
        <f ca="1">IFERROR(__xludf.DUMMYFUNCTION("""COMPUTED_VALUE"""),"Санниково, ДЮСШ Первомайского района")</f>
        <v>Санниково, ДЮСШ Первомайского района</v>
      </c>
      <c r="M72" s="1" t="str">
        <f ca="1">IFERROR(__xludf.DUMMYFUNCTION("""COMPUTED_VALUE"""),"Санниково")</f>
        <v>Санниково</v>
      </c>
      <c r="N72" s="1"/>
      <c r="O72" s="1" t="str">
        <f ca="1">IFERROR(__xludf.DUMMYFUNCTION("""COMPUTED_VALUE"""),"Таскин А.Ю.")</f>
        <v>Таскин А.Ю.</v>
      </c>
    </row>
    <row r="73" spans="1:15">
      <c r="A73" s="44"/>
      <c r="B73" s="44"/>
      <c r="C73" s="1">
        <f ca="1">IFERROR(__xludf.DUMMYFUNCTION("""COMPUTED_VALUE"""),58)</f>
        <v>58</v>
      </c>
      <c r="D73" s="1">
        <f ca="1">IFERROR(__xludf.DUMMYFUNCTION("""COMPUTED_VALUE"""),58)</f>
        <v>58</v>
      </c>
      <c r="E73" s="1"/>
      <c r="F73" s="1">
        <f ca="1">IFERROR(__xludf.DUMMYFUNCTION("""COMPUTED_VALUE"""),15)</f>
        <v>15</v>
      </c>
      <c r="G73" s="1" t="str">
        <f ca="1">IFERROR(__xludf.DUMMYFUNCTION("""COMPUTED_VALUE"""),"ТАБАКАЕВ Степан")</f>
        <v>ТАБАКАЕВ Степан</v>
      </c>
      <c r="H73" s="1" t="str">
        <f ca="1">IFERROR(__xludf.DUMMYFUNCTION("""COMPUTED_VALUE"""),"ТАБАКАЕВ Степан Степанович")</f>
        <v>ТАБАКАЕВ Степан Степанович</v>
      </c>
      <c r="I73" s="1" t="str">
        <f ca="1">IFERROR(__xludf.DUMMYFUNCTION("""COMPUTED_VALUE"""),"15.07.09, 1юн")</f>
        <v>15.07.09, 1юн</v>
      </c>
      <c r="J73" s="1" t="str">
        <f ca="1">IFERROR(__xludf.DUMMYFUNCTION("""COMPUTED_VALUE"""),"1юн")</f>
        <v>1юн</v>
      </c>
      <c r="K73" s="1" t="str">
        <f ca="1">IFERROR(__xludf.DUMMYFUNCTION("""COMPUTED_VALUE"""),"СФО")</f>
        <v>СФО</v>
      </c>
      <c r="L73" s="1" t="str">
        <f ca="1">IFERROR(__xludf.DUMMYFUNCTION("""COMPUTED_VALUE"""),"Бийск, СШОР 3")</f>
        <v>Бийск, СШОР 3</v>
      </c>
      <c r="M73" s="1" t="str">
        <f ca="1">IFERROR(__xludf.DUMMYFUNCTION("""COMPUTED_VALUE"""),"Бийск")</f>
        <v>Бийск</v>
      </c>
      <c r="N73" s="1"/>
      <c r="O73" s="1" t="str">
        <f ca="1">IFERROR(__xludf.DUMMYFUNCTION("""COMPUTED_VALUE"""),"Трескин С.М., Акулов В.Н.")</f>
        <v>Трескин С.М., Акулов В.Н.</v>
      </c>
    </row>
    <row r="74" spans="1:15">
      <c r="A74" s="44"/>
      <c r="B74" s="44"/>
      <c r="C74" s="1">
        <f ca="1">IFERROR(__xludf.DUMMYFUNCTION("""COMPUTED_VALUE"""),58)</f>
        <v>58</v>
      </c>
      <c r="D74" s="1">
        <f ca="1">IFERROR(__xludf.DUMMYFUNCTION("""COMPUTED_VALUE"""),58)</f>
        <v>58</v>
      </c>
      <c r="E74" s="1"/>
      <c r="F74" s="1">
        <f ca="1">IFERROR(__xludf.DUMMYFUNCTION("""COMPUTED_VALUE"""),16)</f>
        <v>16</v>
      </c>
      <c r="G74" s="1" t="str">
        <f ca="1">IFERROR(__xludf.DUMMYFUNCTION("""COMPUTED_VALUE"""),"МАСЛОКОВ Артём ")</f>
        <v xml:space="preserve">МАСЛОКОВ Артём </v>
      </c>
      <c r="H74" s="1" t="str">
        <f ca="1">IFERROR(__xludf.DUMMYFUNCTION("""COMPUTED_VALUE"""),"МАСЛОКОВ Артём  Владимирович")</f>
        <v>МАСЛОКОВ Артём  Владимирович</v>
      </c>
      <c r="I74" s="1" t="str">
        <f ca="1">IFERROR(__xludf.DUMMYFUNCTION("""COMPUTED_VALUE"""),"05.03.09, 1юн")</f>
        <v>05.03.09, 1юн</v>
      </c>
      <c r="J74" s="1" t="str">
        <f ca="1">IFERROR(__xludf.DUMMYFUNCTION("""COMPUTED_VALUE"""),"1юн")</f>
        <v>1юн</v>
      </c>
      <c r="K74" s="1" t="str">
        <f ca="1">IFERROR(__xludf.DUMMYFUNCTION("""COMPUTED_VALUE"""),"СФО")</f>
        <v>СФО</v>
      </c>
      <c r="L74" s="1" t="str">
        <f ca="1">IFERROR(__xludf.DUMMYFUNCTION("""COMPUTED_VALUE"""),"г. Змеиногорс , МБУДО,, Змеиногорская СШ """)</f>
        <v>г. Змеиногорс , МБУДО,, Змеиногорская СШ "</v>
      </c>
      <c r="M74" s="1" t="str">
        <f ca="1">IFERROR(__xludf.DUMMYFUNCTION("""COMPUTED_VALUE"""),"г. Змеиногорс ")</f>
        <v xml:space="preserve">г. Змеиногорс </v>
      </c>
      <c r="N74" s="1"/>
      <c r="O74" s="1" t="str">
        <f ca="1">IFERROR(__xludf.DUMMYFUNCTION("""COMPUTED_VALUE"""),"Ломиворотов Сергей Сергеевич ")</f>
        <v xml:space="preserve">Ломиворотов Сергей Сергеевич </v>
      </c>
    </row>
    <row r="75" spans="1:15">
      <c r="A75" s="44"/>
      <c r="B75" s="44"/>
      <c r="C75" s="1">
        <f ca="1">IFERROR(__xludf.DUMMYFUNCTION("""COMPUTED_VALUE"""),58)</f>
        <v>58</v>
      </c>
      <c r="D75" s="1">
        <f ca="1">IFERROR(__xludf.DUMMYFUNCTION("""COMPUTED_VALUE"""),58)</f>
        <v>58</v>
      </c>
      <c r="E75" s="1"/>
      <c r="F75" s="1">
        <f ca="1">IFERROR(__xludf.DUMMYFUNCTION("""COMPUTED_VALUE"""),17)</f>
        <v>17</v>
      </c>
      <c r="G75" s="1" t="str">
        <f ca="1">IFERROR(__xludf.DUMMYFUNCTION("""COMPUTED_VALUE"""),"ПЕТРОВ  Милан ")</f>
        <v xml:space="preserve">ПЕТРОВ  Милан </v>
      </c>
      <c r="H75" s="1" t="str">
        <f ca="1">IFERROR(__xludf.DUMMYFUNCTION("""COMPUTED_VALUE"""),"ПЕТРОВ  Милан  Сергеевич ")</f>
        <v xml:space="preserve">ПЕТРОВ  Милан  Сергеевич </v>
      </c>
      <c r="I75" s="1" t="str">
        <f ca="1">IFERROR(__xludf.DUMMYFUNCTION("""COMPUTED_VALUE"""),"28.03.09, 3юн")</f>
        <v>28.03.09, 3юн</v>
      </c>
      <c r="J75" s="1" t="str">
        <f ca="1">IFERROR(__xludf.DUMMYFUNCTION("""COMPUTED_VALUE"""),"3юн")</f>
        <v>3юн</v>
      </c>
      <c r="K75" s="1" t="str">
        <f ca="1">IFERROR(__xludf.DUMMYFUNCTION("""COMPUTED_VALUE"""),"СФО")</f>
        <v>СФО</v>
      </c>
      <c r="L75" s="1" t="str">
        <f ca="1">IFERROR(__xludf.DUMMYFUNCTION("""COMPUTED_VALUE"""),"Барнаул , КСШОР ")</f>
        <v xml:space="preserve">Барнаул , КСШОР </v>
      </c>
      <c r="M75" s="1" t="str">
        <f ca="1">IFERROR(__xludf.DUMMYFUNCTION("""COMPUTED_VALUE"""),"Барнаул ")</f>
        <v xml:space="preserve">Барнаул </v>
      </c>
      <c r="N75" s="1"/>
      <c r="O75" s="1" t="str">
        <f ca="1">IFERROR(__xludf.DUMMYFUNCTION("""COMPUTED_VALUE"""),"Хоружев А.И. ")</f>
        <v xml:space="preserve">Хоружев А.И. </v>
      </c>
    </row>
    <row r="76" spans="1:15">
      <c r="A76" s="44"/>
      <c r="B76" s="44"/>
      <c r="C76" s="1">
        <f ca="1">IFERROR(__xludf.DUMMYFUNCTION("""COMPUTED_VALUE"""),58)</f>
        <v>58</v>
      </c>
      <c r="D76" s="1">
        <f ca="1">IFERROR(__xludf.DUMMYFUNCTION("""COMPUTED_VALUE"""),58)</f>
        <v>58</v>
      </c>
      <c r="E76" s="1"/>
      <c r="F76" s="1">
        <f ca="1">IFERROR(__xludf.DUMMYFUNCTION("""COMPUTED_VALUE"""),18)</f>
        <v>18</v>
      </c>
      <c r="G76" s="1" t="str">
        <f ca="1">IFERROR(__xludf.DUMMYFUNCTION("""COMPUTED_VALUE"""),"МОЛОКЕЕВ Данил")</f>
        <v>МОЛОКЕЕВ Данил</v>
      </c>
      <c r="H76" s="1" t="str">
        <f ca="1">IFERROR(__xludf.DUMMYFUNCTION("""COMPUTED_VALUE"""),"МОЛОКЕЕВ Данил Андреевич ")</f>
        <v xml:space="preserve">МОЛОКЕЕВ Данил Андреевич </v>
      </c>
      <c r="I76" s="1" t="str">
        <f ca="1">IFERROR(__xludf.DUMMYFUNCTION("""COMPUTED_VALUE"""),"24.07.10, 1юн")</f>
        <v>24.07.10, 1юн</v>
      </c>
      <c r="J76" s="1" t="str">
        <f ca="1">IFERROR(__xludf.DUMMYFUNCTION("""COMPUTED_VALUE"""),"1юн")</f>
        <v>1юн</v>
      </c>
      <c r="K76" s="1" t="str">
        <f ca="1">IFERROR(__xludf.DUMMYFUNCTION("""COMPUTED_VALUE"""),"СФО")</f>
        <v>СФО</v>
      </c>
      <c r="L76" s="1" t="str">
        <f ca="1">IFERROR(__xludf.DUMMYFUNCTION("""COMPUTED_VALUE"""),"г. Змеиногорс , МБУДО,, Змеиногорская СШ """)</f>
        <v>г. Змеиногорс , МБУДО,, Змеиногорская СШ "</v>
      </c>
      <c r="M76" s="1" t="str">
        <f ca="1">IFERROR(__xludf.DUMMYFUNCTION("""COMPUTED_VALUE"""),"г. Змеиногорс ")</f>
        <v xml:space="preserve">г. Змеиногорс </v>
      </c>
      <c r="N76" s="1"/>
      <c r="O76" s="1" t="str">
        <f ca="1">IFERROR(__xludf.DUMMYFUNCTION("""COMPUTED_VALUE"""),"Ломиворотов Сергей Сергеевич """)</f>
        <v>Ломиворотов Сергей Сергеевич "</v>
      </c>
    </row>
    <row r="77" spans="1:15">
      <c r="A77" s="44"/>
      <c r="B77" s="44"/>
      <c r="C77" s="1">
        <f ca="1">IFERROR(__xludf.DUMMYFUNCTION("""COMPUTED_VALUE"""),58)</f>
        <v>58</v>
      </c>
      <c r="D77" s="1">
        <f ca="1">IFERROR(__xludf.DUMMYFUNCTION("""COMPUTED_VALUE"""),58)</f>
        <v>58</v>
      </c>
      <c r="E77" s="1"/>
      <c r="F77" s="1">
        <f ca="1">IFERROR(__xludf.DUMMYFUNCTION("""COMPUTED_VALUE"""),19)</f>
        <v>19</v>
      </c>
      <c r="G77" s="1" t="str">
        <f ca="1">IFERROR(__xludf.DUMMYFUNCTION("""COMPUTED_VALUE"""),"ЧУЙКОВ  Степан ")</f>
        <v xml:space="preserve">ЧУЙКОВ  Степан </v>
      </c>
      <c r="H77" s="1" t="str">
        <f ca="1">IFERROR(__xludf.DUMMYFUNCTION("""COMPUTED_VALUE"""),"ЧУЙКОВ  Степан  Олегович ")</f>
        <v xml:space="preserve">ЧУЙКОВ  Степан  Олегович </v>
      </c>
      <c r="I77" s="1" t="str">
        <f ca="1">IFERROR(__xludf.DUMMYFUNCTION("""COMPUTED_VALUE"""),"27.07.10, 1сп")</f>
        <v>27.07.10, 1сп</v>
      </c>
      <c r="J77" s="1" t="str">
        <f ca="1">IFERROR(__xludf.DUMMYFUNCTION("""COMPUTED_VALUE"""),"1сп")</f>
        <v>1сп</v>
      </c>
      <c r="K77" s="1" t="str">
        <f ca="1">IFERROR(__xludf.DUMMYFUNCTION("""COMPUTED_VALUE"""),"СФО")</f>
        <v>СФО</v>
      </c>
      <c r="L77" s="1" t="str">
        <f ca="1">IFERROR(__xludf.DUMMYFUNCTION("""COMPUTED_VALUE"""),"Барнаул , КСШОР ")</f>
        <v xml:space="preserve">Барнаул , КСШОР </v>
      </c>
      <c r="M77" s="1" t="str">
        <f ca="1">IFERROR(__xludf.DUMMYFUNCTION("""COMPUTED_VALUE"""),"Барнаул ")</f>
        <v xml:space="preserve">Барнаул </v>
      </c>
      <c r="N77" s="1"/>
      <c r="O77" s="1" t="str">
        <f ca="1">IFERROR(__xludf.DUMMYFUNCTION("""COMPUTED_VALUE"""),"Хоружев А.И. ")</f>
        <v xml:space="preserve">Хоружев А.И. </v>
      </c>
    </row>
    <row r="78" spans="1:15">
      <c r="A78" s="44"/>
      <c r="B78" s="44"/>
      <c r="C78" s="1">
        <f ca="1">IFERROR(__xludf.DUMMYFUNCTION("""COMPUTED_VALUE"""),58)</f>
        <v>58</v>
      </c>
      <c r="D78" s="1">
        <f ca="1">IFERROR(__xludf.DUMMYFUNCTION("""COMPUTED_VALUE"""),58)</f>
        <v>58</v>
      </c>
      <c r="E78" s="1"/>
      <c r="F78" s="1">
        <f ca="1">IFERROR(__xludf.DUMMYFUNCTION("""COMPUTED_VALUE"""),20)</f>
        <v>20</v>
      </c>
      <c r="G78" s="1" t="str">
        <f ca="1">IFERROR(__xludf.DUMMYFUNCTION("""COMPUTED_VALUE"""),"ЯКОВЕНКО  Евгений")</f>
        <v>ЯКОВЕНКО  Евгений</v>
      </c>
      <c r="H78" s="1" t="str">
        <f ca="1">IFERROR(__xludf.DUMMYFUNCTION("""COMPUTED_VALUE"""),"ЯКОВЕНКО  Евгений Дмитриевич ")</f>
        <v xml:space="preserve">ЯКОВЕНКО  Евгений Дмитриевич </v>
      </c>
      <c r="I78" s="1" t="str">
        <f ca="1">IFERROR(__xludf.DUMMYFUNCTION("""COMPUTED_VALUE"""),"07.07.09, 1юн")</f>
        <v>07.07.09, 1юн</v>
      </c>
      <c r="J78" s="1" t="str">
        <f ca="1">IFERROR(__xludf.DUMMYFUNCTION("""COMPUTED_VALUE"""),"1юн")</f>
        <v>1юн</v>
      </c>
      <c r="K78" s="1" t="str">
        <f ca="1">IFERROR(__xludf.DUMMYFUNCTION("""COMPUTED_VALUE"""),"СФО")</f>
        <v>СФО</v>
      </c>
      <c r="L78" s="1" t="str">
        <f ca="1">IFERROR(__xludf.DUMMYFUNCTION("""COMPUTED_VALUE"""),"Барнаул , Ирбис")</f>
        <v>Барнаул , Ирбис</v>
      </c>
      <c r="M78" s="1" t="str">
        <f ca="1">IFERROR(__xludf.DUMMYFUNCTION("""COMPUTED_VALUE"""),"Барнаул ")</f>
        <v xml:space="preserve">Барнаул </v>
      </c>
      <c r="N78" s="1"/>
      <c r="O78" s="1" t="str">
        <f ca="1">IFERROR(__xludf.DUMMYFUNCTION("""COMPUTED_VALUE"""),"Торопынин А.Е")</f>
        <v>Торопынин А.Е</v>
      </c>
    </row>
    <row r="79" spans="1:15">
      <c r="A79" s="44"/>
      <c r="B79" s="44"/>
      <c r="C79" s="1">
        <f ca="1">IFERROR(__xludf.DUMMYFUNCTION("""COMPUTED_VALUE"""),58)</f>
        <v>58</v>
      </c>
      <c r="D79" s="1">
        <f ca="1">IFERROR(__xludf.DUMMYFUNCTION("""COMPUTED_VALUE"""),58)</f>
        <v>58</v>
      </c>
      <c r="E79" s="1"/>
      <c r="F79" s="1">
        <f ca="1">IFERROR(__xludf.DUMMYFUNCTION("""COMPUTED_VALUE"""),21)</f>
        <v>21</v>
      </c>
      <c r="G79" s="1" t="str">
        <f ca="1">IFERROR(__xludf.DUMMYFUNCTION("""COMPUTED_VALUE"""),"ЛАПТЕВ Сергей")</f>
        <v>ЛАПТЕВ Сергей</v>
      </c>
      <c r="H79" s="1" t="str">
        <f ca="1">IFERROR(__xludf.DUMMYFUNCTION("""COMPUTED_VALUE"""),"ЛАПТЕВ Сергей Витальевич")</f>
        <v>ЛАПТЕВ Сергей Витальевич</v>
      </c>
      <c r="I79" s="1" t="str">
        <f ca="1">IFERROR(__xludf.DUMMYFUNCTION("""COMPUTED_VALUE"""),"01.01.09, 1сп")</f>
        <v>01.01.09, 1сп</v>
      </c>
      <c r="J79" s="1" t="str">
        <f ca="1">IFERROR(__xludf.DUMMYFUNCTION("""COMPUTED_VALUE"""),"1сп")</f>
        <v>1сп</v>
      </c>
      <c r="K79" s="1" t="str">
        <f ca="1">IFERROR(__xludf.DUMMYFUNCTION("""COMPUTED_VALUE"""),"СФО")</f>
        <v>СФО</v>
      </c>
      <c r="L79" s="1" t="str">
        <f ca="1">IFERROR(__xludf.DUMMYFUNCTION("""COMPUTED_VALUE"""),"Бийск, СШОР №3 им. А. Гуляева")</f>
        <v>Бийск, СШОР №3 им. А. Гуляева</v>
      </c>
      <c r="M79" s="1" t="str">
        <f ca="1">IFERROR(__xludf.DUMMYFUNCTION("""COMPUTED_VALUE"""),"Бийск")</f>
        <v>Бийск</v>
      </c>
      <c r="N79" s="1"/>
      <c r="O79" s="1" t="str">
        <f ca="1">IFERROR(__xludf.DUMMYFUNCTION("""COMPUTED_VALUE"""),"Шалюта П.В., Паринова Т.В.")</f>
        <v>Шалюта П.В., Паринова Т.В.</v>
      </c>
    </row>
    <row r="80" spans="1:15">
      <c r="A80" s="44"/>
      <c r="B80" s="44"/>
      <c r="C80" s="1">
        <f ca="1">IFERROR(__xludf.DUMMYFUNCTION("""COMPUTED_VALUE"""),58)</f>
        <v>58</v>
      </c>
      <c r="D80" s="1">
        <f ca="1">IFERROR(__xludf.DUMMYFUNCTION("""COMPUTED_VALUE"""),58)</f>
        <v>58</v>
      </c>
      <c r="E80" s="1"/>
      <c r="F80" s="1">
        <f ca="1">IFERROR(__xludf.DUMMYFUNCTION("""COMPUTED_VALUE"""),22)</f>
        <v>22</v>
      </c>
      <c r="G80" s="1" t="str">
        <f ca="1">IFERROR(__xludf.DUMMYFUNCTION("""COMPUTED_VALUE"""),"РЫБАКОВ Олег")</f>
        <v>РЫБАКОВ Олег</v>
      </c>
      <c r="H80" s="1" t="str">
        <f ca="1">IFERROR(__xludf.DUMMYFUNCTION("""COMPUTED_VALUE"""),"РЫБАКОВ Олег Игоревич")</f>
        <v>РЫБАКОВ Олег Игоревич</v>
      </c>
      <c r="I80" s="1" t="str">
        <f ca="1">IFERROR(__xludf.DUMMYFUNCTION("""COMPUTED_VALUE"""),"10.04.09, 2юн")</f>
        <v>10.04.09, 2юн</v>
      </c>
      <c r="J80" s="1" t="str">
        <f ca="1">IFERROR(__xludf.DUMMYFUNCTION("""COMPUTED_VALUE"""),"2юн")</f>
        <v>2юн</v>
      </c>
      <c r="K80" s="1" t="str">
        <f ca="1">IFERROR(__xludf.DUMMYFUNCTION("""COMPUTED_VALUE"""),"СФО")</f>
        <v>СФО</v>
      </c>
      <c r="L80" s="1" t="str">
        <f ca="1">IFERROR(__xludf.DUMMYFUNCTION("""COMPUTED_VALUE"""),"Алейск, МБУДО «СШ»г.Алейска ")</f>
        <v xml:space="preserve">Алейск, МБУДО «СШ»г.Алейска </v>
      </c>
      <c r="M80" s="1" t="str">
        <f ca="1">IFERROR(__xludf.DUMMYFUNCTION("""COMPUTED_VALUE"""),"Алейск")</f>
        <v>Алейск</v>
      </c>
      <c r="N80" s="1"/>
      <c r="O80" s="1" t="str">
        <f ca="1">IFERROR(__xludf.DUMMYFUNCTION("""COMPUTED_VALUE"""),"Старков В. Г.")</f>
        <v>Старков В. Г.</v>
      </c>
    </row>
    <row r="81" spans="1:15">
      <c r="A81" s="44"/>
      <c r="B81" s="44"/>
      <c r="C81" s="1">
        <f ca="1">IFERROR(__xludf.DUMMYFUNCTION("""COMPUTED_VALUE"""),58)</f>
        <v>58</v>
      </c>
      <c r="D81" s="1">
        <f ca="1">IFERROR(__xludf.DUMMYFUNCTION("""COMPUTED_VALUE"""),58)</f>
        <v>58</v>
      </c>
      <c r="E81" s="1"/>
      <c r="F81" s="1">
        <f ca="1">IFERROR(__xludf.DUMMYFUNCTION("""COMPUTED_VALUE"""),32)</f>
        <v>32</v>
      </c>
      <c r="G81" s="1" t="str">
        <f ca="1">IFERROR(__xludf.DUMMYFUNCTION("""COMPUTED_VALUE"""),"МОРДВИНОВ Дмитрий")</f>
        <v>МОРДВИНОВ Дмитрий</v>
      </c>
      <c r="H81" s="1" t="str">
        <f ca="1">IFERROR(__xludf.DUMMYFUNCTION("""COMPUTED_VALUE"""),"МОРДВИНОВ Дмитрий Денисович")</f>
        <v>МОРДВИНОВ Дмитрий Денисович</v>
      </c>
      <c r="I81" s="1" t="str">
        <f ca="1">IFERROR(__xludf.DUMMYFUNCTION("""COMPUTED_VALUE"""),"04.01.10, 3юн")</f>
        <v>04.01.10, 3юн</v>
      </c>
      <c r="J81" s="1" t="str">
        <f ca="1">IFERROR(__xludf.DUMMYFUNCTION("""COMPUTED_VALUE"""),"3юн")</f>
        <v>3юн</v>
      </c>
      <c r="K81" s="1" t="str">
        <f ca="1">IFERROR(__xludf.DUMMYFUNCTION("""COMPUTED_VALUE"""),"СФО")</f>
        <v>СФО</v>
      </c>
      <c r="L81" s="1" t="str">
        <f ca="1">IFERROR(__xludf.DUMMYFUNCTION("""COMPUTED_VALUE"""),"Барнаул, ДСШ ИРБИС")</f>
        <v>Барнаул, ДСШ ИРБИС</v>
      </c>
      <c r="M81" s="1" t="str">
        <f ca="1">IFERROR(__xludf.DUMMYFUNCTION("""COMPUTED_VALUE"""),"Барнаул")</f>
        <v>Барнаул</v>
      </c>
      <c r="N81" s="1"/>
      <c r="O81" s="1" t="str">
        <f ca="1">IFERROR(__xludf.DUMMYFUNCTION("""COMPUTED_VALUE"""),"Торопынин А. Е. ")</f>
        <v xml:space="preserve">Торопынин А. Е. </v>
      </c>
    </row>
    <row r="82" spans="1:15">
      <c r="A82" s="44"/>
      <c r="B82" s="44"/>
      <c r="C82" s="1">
        <f ca="1">IFERROR(__xludf.DUMMYFUNCTION("""COMPUTED_VALUE"""),58)</f>
        <v>58</v>
      </c>
      <c r="D82" s="1">
        <f ca="1">IFERROR(__xludf.DUMMYFUNCTION("""COMPUTED_VALUE"""),58)</f>
        <v>58</v>
      </c>
      <c r="E82" s="1"/>
      <c r="F82" s="1">
        <f ca="1">IFERROR(__xludf.DUMMYFUNCTION("""COMPUTED_VALUE"""),23)</f>
        <v>23</v>
      </c>
      <c r="G82" s="1" t="str">
        <f ca="1">IFERROR(__xludf.DUMMYFUNCTION("""COMPUTED_VALUE"""),"МОНИЧ  Сергей")</f>
        <v>МОНИЧ  Сергей</v>
      </c>
      <c r="H82" s="1" t="str">
        <f ca="1">IFERROR(__xludf.DUMMYFUNCTION("""COMPUTED_VALUE"""),"МОНИЧ  Сергей Сергеевич ")</f>
        <v xml:space="preserve">МОНИЧ  Сергей Сергеевич </v>
      </c>
      <c r="I82" s="1" t="str">
        <f ca="1">IFERROR(__xludf.DUMMYFUNCTION("""COMPUTED_VALUE"""),"17.03.10, 3юн")</f>
        <v>17.03.10, 3юн</v>
      </c>
      <c r="J82" s="1" t="str">
        <f ca="1">IFERROR(__xludf.DUMMYFUNCTION("""COMPUTED_VALUE"""),"3юн")</f>
        <v>3юн</v>
      </c>
      <c r="K82" s="1" t="str">
        <f ca="1">IFERROR(__xludf.DUMMYFUNCTION("""COMPUTED_VALUE"""),"СФО")</f>
        <v>СФО</v>
      </c>
      <c r="L82" s="1" t="str">
        <f ca="1">IFERROR(__xludf.DUMMYFUNCTION("""COMPUTED_VALUE"""),"Бийск , СШОР №3 им.А.Гуляева")</f>
        <v>Бийск , СШОР №3 им.А.Гуляева</v>
      </c>
      <c r="M82" s="1" t="str">
        <f ca="1">IFERROR(__xludf.DUMMYFUNCTION("""COMPUTED_VALUE"""),"Бийск ")</f>
        <v xml:space="preserve">Бийск </v>
      </c>
      <c r="N82" s="1"/>
      <c r="O82" s="1" t="str">
        <f ca="1">IFERROR(__xludf.DUMMYFUNCTION("""COMPUTED_VALUE"""),"Гаврилов В.В., Асадова А.В.")</f>
        <v>Гаврилов В.В., Асадова А.В.</v>
      </c>
    </row>
    <row r="83" spans="1:15">
      <c r="A83" s="44"/>
      <c r="B83" s="44"/>
      <c r="C83" s="1">
        <f ca="1">IFERROR(__xludf.DUMMYFUNCTION("""COMPUTED_VALUE"""),58)</f>
        <v>58</v>
      </c>
      <c r="D83" s="1">
        <f ca="1">IFERROR(__xludf.DUMMYFUNCTION("""COMPUTED_VALUE"""),58)</f>
        <v>58</v>
      </c>
      <c r="E83" s="1"/>
      <c r="F83" s="1">
        <f ca="1">IFERROR(__xludf.DUMMYFUNCTION("""COMPUTED_VALUE"""),24)</f>
        <v>24</v>
      </c>
      <c r="G83" s="1" t="str">
        <f ca="1">IFERROR(__xludf.DUMMYFUNCTION("""COMPUTED_VALUE"""),"ГРЕЦОВ  Евгений ")</f>
        <v xml:space="preserve">ГРЕЦОВ  Евгений </v>
      </c>
      <c r="H83" s="1" t="str">
        <f ca="1">IFERROR(__xludf.DUMMYFUNCTION("""COMPUTED_VALUE"""),"ГРЕЦОВ  Евгений  Игоревич ")</f>
        <v xml:space="preserve">ГРЕЦОВ  Евгений  Игоревич </v>
      </c>
      <c r="I83" s="1" t="str">
        <f ca="1">IFERROR(__xludf.DUMMYFUNCTION("""COMPUTED_VALUE"""),"20.07.09, 2юн")</f>
        <v>20.07.09, 2юн</v>
      </c>
      <c r="J83" s="1" t="str">
        <f ca="1">IFERROR(__xludf.DUMMYFUNCTION("""COMPUTED_VALUE"""),"2юн")</f>
        <v>2юн</v>
      </c>
      <c r="K83" s="1" t="str">
        <f ca="1">IFERROR(__xludf.DUMMYFUNCTION("""COMPUTED_VALUE"""),"СФО")</f>
        <v>СФО</v>
      </c>
      <c r="L83" s="1" t="str">
        <f ca="1">IFERROR(__xludf.DUMMYFUNCTION("""COMPUTED_VALUE"""),"Табуны, МБУ ДО ТСШ ")</f>
        <v xml:space="preserve">Табуны, МБУ ДО ТСШ </v>
      </c>
      <c r="M83" s="1" t="str">
        <f ca="1">IFERROR(__xludf.DUMMYFUNCTION("""COMPUTED_VALUE"""),"Табуны")</f>
        <v>Табуны</v>
      </c>
      <c r="N83" s="1"/>
      <c r="O83" s="1" t="str">
        <f ca="1">IFERROR(__xludf.DUMMYFUNCTION("""COMPUTED_VALUE"""),"Буханцев А.Д.")</f>
        <v>Буханцев А.Д.</v>
      </c>
    </row>
    <row r="84" spans="1:15">
      <c r="A84" s="44"/>
      <c r="B84" s="44"/>
      <c r="C84" s="1">
        <f ca="1">IFERROR(__xludf.DUMMYFUNCTION("""COMPUTED_VALUE"""),58)</f>
        <v>58</v>
      </c>
      <c r="D84" s="1">
        <f ca="1">IFERROR(__xludf.DUMMYFUNCTION("""COMPUTED_VALUE"""),58)</f>
        <v>58</v>
      </c>
      <c r="E84" s="1"/>
      <c r="F84" s="1">
        <f ca="1">IFERROR(__xludf.DUMMYFUNCTION("""COMPUTED_VALUE"""),25)</f>
        <v>25</v>
      </c>
      <c r="G84" s="1" t="str">
        <f ca="1">IFERROR(__xludf.DUMMYFUNCTION("""COMPUTED_VALUE"""),"БОЛОТОВ Павел")</f>
        <v>БОЛОТОВ Павел</v>
      </c>
      <c r="H84" s="1" t="str">
        <f ca="1">IFERROR(__xludf.DUMMYFUNCTION("""COMPUTED_VALUE"""),"БОЛОТОВ Павел Сергеевич")</f>
        <v>БОЛОТОВ Павел Сергеевич</v>
      </c>
      <c r="I84" s="1" t="str">
        <f ca="1">IFERROR(__xludf.DUMMYFUNCTION("""COMPUTED_VALUE"""),"30.05.10, 1юн")</f>
        <v>30.05.10, 1юн</v>
      </c>
      <c r="J84" s="1" t="str">
        <f ca="1">IFERROR(__xludf.DUMMYFUNCTION("""COMPUTED_VALUE"""),"1юн")</f>
        <v>1юн</v>
      </c>
      <c r="K84" s="1" t="str">
        <f ca="1">IFERROR(__xludf.DUMMYFUNCTION("""COMPUTED_VALUE"""),"СФО")</f>
        <v>СФО</v>
      </c>
      <c r="L84" s="1" t="str">
        <f ca="1">IFERROR(__xludf.DUMMYFUNCTION("""COMPUTED_VALUE"""),"Алтайское , МАУ ДО""АЛТАЙСКАЯ СШОР"" ")</f>
        <v xml:space="preserve">Алтайское , МАУ ДО"АЛТАЙСКАЯ СШОР" </v>
      </c>
      <c r="M84" s="1" t="str">
        <f ca="1">IFERROR(__xludf.DUMMYFUNCTION("""COMPUTED_VALUE"""),"Алтайское ")</f>
        <v xml:space="preserve">Алтайское </v>
      </c>
      <c r="N84" s="1"/>
      <c r="O84" s="1" t="str">
        <f ca="1">IFERROR(__xludf.DUMMYFUNCTION("""COMPUTED_VALUE"""),"Кандауров А. Н. ")</f>
        <v xml:space="preserve">Кандауров А. Н. </v>
      </c>
    </row>
    <row r="85" spans="1:15">
      <c r="A85" s="44"/>
      <c r="B85" s="44"/>
      <c r="C85" s="1">
        <f ca="1">IFERROR(__xludf.DUMMYFUNCTION("""COMPUTED_VALUE"""),58)</f>
        <v>58</v>
      </c>
      <c r="D85" s="1">
        <f ca="1">IFERROR(__xludf.DUMMYFUNCTION("""COMPUTED_VALUE"""),58)</f>
        <v>58</v>
      </c>
      <c r="E85" s="1"/>
      <c r="F85" s="1">
        <f ca="1">IFERROR(__xludf.DUMMYFUNCTION("""COMPUTED_VALUE"""),26)</f>
        <v>26</v>
      </c>
      <c r="G85" s="1" t="str">
        <f ca="1">IFERROR(__xludf.DUMMYFUNCTION("""COMPUTED_VALUE"""),"ПРОСКУРЯКОВ Максим")</f>
        <v>ПРОСКУРЯКОВ Максим</v>
      </c>
      <c r="H85" s="1" t="str">
        <f ca="1">IFERROR(__xludf.DUMMYFUNCTION("""COMPUTED_VALUE"""),"ПРОСКУРЯКОВ Максим Сергеевич")</f>
        <v>ПРОСКУРЯКОВ Максим Сергеевич</v>
      </c>
      <c r="I85" s="1" t="str">
        <f ca="1">IFERROR(__xludf.DUMMYFUNCTION("""COMPUTED_VALUE"""),"17.02.09, 3юн")</f>
        <v>17.02.09, 3юн</v>
      </c>
      <c r="J85" s="1" t="str">
        <f ca="1">IFERROR(__xludf.DUMMYFUNCTION("""COMPUTED_VALUE"""),"3юн")</f>
        <v>3юн</v>
      </c>
      <c r="K85" s="1" t="str">
        <f ca="1">IFERROR(__xludf.DUMMYFUNCTION("""COMPUTED_VALUE"""),"СФО")</f>
        <v>СФО</v>
      </c>
      <c r="L85" s="1" t="str">
        <f ca="1">IFERROR(__xludf.DUMMYFUNCTION("""COMPUTED_VALUE"""),"Бийск, ""СШОР N°3"" им. А. Гуляева")</f>
        <v>Бийск, "СШОР N°3" им. А. Гуляева</v>
      </c>
      <c r="M85" s="1" t="str">
        <f ca="1">IFERROR(__xludf.DUMMYFUNCTION("""COMPUTED_VALUE"""),"Бийск")</f>
        <v>Бийск</v>
      </c>
      <c r="N85" s="1"/>
      <c r="O85" s="1" t="str">
        <f ca="1">IFERROR(__xludf.DUMMYFUNCTION("""COMPUTED_VALUE"""),"Демьяненко С.А., Евтушенко Д.Ю.")</f>
        <v>Демьяненко С.А., Евтушенко Д.Ю.</v>
      </c>
    </row>
    <row r="86" spans="1:15">
      <c r="A86" s="44"/>
      <c r="B86" s="44"/>
      <c r="C86" s="1">
        <f ca="1">IFERROR(__xludf.DUMMYFUNCTION("""COMPUTED_VALUE"""),58)</f>
        <v>58</v>
      </c>
      <c r="D86" s="1">
        <f ca="1">IFERROR(__xludf.DUMMYFUNCTION("""COMPUTED_VALUE"""),58)</f>
        <v>58</v>
      </c>
      <c r="E86" s="1"/>
      <c r="F86" s="1">
        <f ca="1">IFERROR(__xludf.DUMMYFUNCTION("""COMPUTED_VALUE"""),27)</f>
        <v>27</v>
      </c>
      <c r="G86" s="1" t="str">
        <f ca="1">IFERROR(__xludf.DUMMYFUNCTION("""COMPUTED_VALUE"""),"СЕДЕШЕВ Артём ")</f>
        <v xml:space="preserve">СЕДЕШЕВ Артём </v>
      </c>
      <c r="H86" s="1" t="str">
        <f ca="1">IFERROR(__xludf.DUMMYFUNCTION("""COMPUTED_VALUE"""),"СЕДЕШЕВ Артём  Максимович")</f>
        <v>СЕДЕШЕВ Артём  Максимович</v>
      </c>
      <c r="I86" s="1" t="str">
        <f ca="1">IFERROR(__xludf.DUMMYFUNCTION("""COMPUTED_VALUE"""),"29.03.09, 2юн")</f>
        <v>29.03.09, 2юн</v>
      </c>
      <c r="J86" s="1" t="str">
        <f ca="1">IFERROR(__xludf.DUMMYFUNCTION("""COMPUTED_VALUE"""),"2юн")</f>
        <v>2юн</v>
      </c>
      <c r="K86" s="1" t="str">
        <f ca="1">IFERROR(__xludf.DUMMYFUNCTION("""COMPUTED_VALUE"""),"СФО")</f>
        <v>СФО</v>
      </c>
      <c r="L86" s="1" t="str">
        <f ca="1">IFERROR(__xludf.DUMMYFUNCTION("""COMPUTED_VALUE"""),"Шипуново , МКУДО Шипуновская СШ ")</f>
        <v xml:space="preserve">Шипуново , МКУДО Шипуновская СШ </v>
      </c>
      <c r="M86" s="1" t="str">
        <f ca="1">IFERROR(__xludf.DUMMYFUNCTION("""COMPUTED_VALUE"""),"Шипуново ")</f>
        <v xml:space="preserve">Шипуново </v>
      </c>
      <c r="N86" s="1"/>
      <c r="O86" s="1" t="str">
        <f ca="1">IFERROR(__xludf.DUMMYFUNCTION("""COMPUTED_VALUE"""),"Куликов В.М. Курочка Д.В.")</f>
        <v>Куликов В.М. Курочка Д.В.</v>
      </c>
    </row>
    <row r="87" spans="1:15">
      <c r="A87" s="44"/>
      <c r="B87" s="44"/>
      <c r="C87" s="1">
        <f ca="1">IFERROR(__xludf.DUMMYFUNCTION("""COMPUTED_VALUE"""),58)</f>
        <v>58</v>
      </c>
      <c r="D87" s="1">
        <f ca="1">IFERROR(__xludf.DUMMYFUNCTION("""COMPUTED_VALUE"""),58)</f>
        <v>58</v>
      </c>
      <c r="E87" s="1"/>
      <c r="F87" s="1">
        <f ca="1">IFERROR(__xludf.DUMMYFUNCTION("""COMPUTED_VALUE"""),28)</f>
        <v>28</v>
      </c>
      <c r="G87" s="1" t="str">
        <f ca="1">IFERROR(__xludf.DUMMYFUNCTION("""COMPUTED_VALUE"""),"ТАБАКАЕВ Данил")</f>
        <v>ТАБАКАЕВ Данил</v>
      </c>
      <c r="H87" s="1" t="str">
        <f ca="1">IFERROR(__xludf.DUMMYFUNCTION("""COMPUTED_VALUE"""),"ТАБАКАЕВ Данил Романовач")</f>
        <v>ТАБАКАЕВ Данил Романовач</v>
      </c>
      <c r="I87" s="1" t="str">
        <f ca="1">IFERROR(__xludf.DUMMYFUNCTION("""COMPUTED_VALUE"""),"25.01.09, 2юн")</f>
        <v>25.01.09, 2юн</v>
      </c>
      <c r="J87" s="1" t="str">
        <f ca="1">IFERROR(__xludf.DUMMYFUNCTION("""COMPUTED_VALUE"""),"2юн")</f>
        <v>2юн</v>
      </c>
      <c r="K87" s="1" t="str">
        <f ca="1">IFERROR(__xludf.DUMMYFUNCTION("""COMPUTED_VALUE"""),"СФО")</f>
        <v>СФО</v>
      </c>
      <c r="L87" s="1" t="str">
        <f ca="1">IFERROR(__xludf.DUMMYFUNCTION("""COMPUTED_VALUE"""),"Красногорское, МБУ ДО СШ Виктория")</f>
        <v>Красногорское, МБУ ДО СШ Виктория</v>
      </c>
      <c r="M87" s="1" t="str">
        <f ca="1">IFERROR(__xludf.DUMMYFUNCTION("""COMPUTED_VALUE"""),"Красногорское")</f>
        <v>Красногорское</v>
      </c>
      <c r="N87" s="1"/>
      <c r="O87" s="1" t="str">
        <f ca="1">IFERROR(__xludf.DUMMYFUNCTION("""COMPUTED_VALUE"""),"Тебереков Г. И. Политов К. В. ")</f>
        <v xml:space="preserve">Тебереков Г. И. Политов К. В. </v>
      </c>
    </row>
    <row r="88" spans="1:15">
      <c r="A88" s="44"/>
      <c r="B88" s="44"/>
      <c r="C88" s="1">
        <f ca="1">IFERROR(__xludf.DUMMYFUNCTION("""COMPUTED_VALUE"""),58)</f>
        <v>58</v>
      </c>
      <c r="D88" s="1">
        <f ca="1">IFERROR(__xludf.DUMMYFUNCTION("""COMPUTED_VALUE"""),58)</f>
        <v>58</v>
      </c>
      <c r="E88" s="1"/>
      <c r="F88" s="1">
        <f ca="1">IFERROR(__xludf.DUMMYFUNCTION("""COMPUTED_VALUE"""),29)</f>
        <v>29</v>
      </c>
      <c r="G88" s="1" t="str">
        <f ca="1">IFERROR(__xludf.DUMMYFUNCTION("""COMPUTED_VALUE"""),"СОФИЕВ Алихан")</f>
        <v>СОФИЕВ Алихан</v>
      </c>
      <c r="H88" s="1" t="str">
        <f ca="1">IFERROR(__xludf.DUMMYFUNCTION("""COMPUTED_VALUE"""),"СОФИЕВ Алихан Русланович")</f>
        <v>СОФИЕВ Алихан Русланович</v>
      </c>
      <c r="I88" s="1" t="str">
        <f ca="1">IFERROR(__xludf.DUMMYFUNCTION("""COMPUTED_VALUE"""),"23.12.09, 1юн")</f>
        <v>23.12.09, 1юн</v>
      </c>
      <c r="J88" s="1" t="str">
        <f ca="1">IFERROR(__xludf.DUMMYFUNCTION("""COMPUTED_VALUE"""),"1юн")</f>
        <v>1юн</v>
      </c>
      <c r="K88" s="1" t="str">
        <f ca="1">IFERROR(__xludf.DUMMYFUNCTION("""COMPUTED_VALUE"""),"СФО")</f>
        <v>СФО</v>
      </c>
      <c r="L88" s="1" t="str">
        <f ca="1">IFERROR(__xludf.DUMMYFUNCTION("""COMPUTED_VALUE"""),"Бийск, СШОР №3")</f>
        <v>Бийск, СШОР №3</v>
      </c>
      <c r="M88" s="1" t="str">
        <f ca="1">IFERROR(__xludf.DUMMYFUNCTION("""COMPUTED_VALUE"""),"Бийск")</f>
        <v>Бийск</v>
      </c>
      <c r="N88" s="1"/>
      <c r="O88" s="1" t="str">
        <f ca="1">IFERROR(__xludf.DUMMYFUNCTION("""COMPUTED_VALUE"""),"Шалюта П.В., Паринова Т.В.")</f>
        <v>Шалюта П.В., Паринова Т.В.</v>
      </c>
    </row>
    <row r="89" spans="1:15">
      <c r="A89" s="44"/>
      <c r="B89" s="44"/>
      <c r="C89" s="1">
        <f ca="1">IFERROR(__xludf.DUMMYFUNCTION("""COMPUTED_VALUE"""),58)</f>
        <v>58</v>
      </c>
      <c r="D89" s="1">
        <f ca="1">IFERROR(__xludf.DUMMYFUNCTION("""COMPUTED_VALUE"""),58)</f>
        <v>58</v>
      </c>
      <c r="E89" s="1"/>
      <c r="F89" s="1">
        <f ca="1">IFERROR(__xludf.DUMMYFUNCTION("""COMPUTED_VALUE"""),30)</f>
        <v>30</v>
      </c>
      <c r="G89" s="1" t="str">
        <f ca="1">IFERROR(__xludf.DUMMYFUNCTION("""COMPUTED_VALUE"""),"ИВАНОВ  Дмитрий ")</f>
        <v xml:space="preserve">ИВАНОВ  Дмитрий </v>
      </c>
      <c r="H89" s="1" t="str">
        <f ca="1">IFERROR(__xludf.DUMMYFUNCTION("""COMPUTED_VALUE"""),"ИВАНОВ  Дмитрий  Александрович ")</f>
        <v xml:space="preserve">ИВАНОВ  Дмитрий  Александрович </v>
      </c>
      <c r="I89" s="1" t="str">
        <f ca="1">IFERROR(__xludf.DUMMYFUNCTION("""COMPUTED_VALUE"""),"18.02.10, 1юн")</f>
        <v>18.02.10, 1юн</v>
      </c>
      <c r="J89" s="1" t="str">
        <f ca="1">IFERROR(__xludf.DUMMYFUNCTION("""COMPUTED_VALUE"""),"1юн")</f>
        <v>1юн</v>
      </c>
      <c r="K89" s="1" t="str">
        <f ca="1">IFERROR(__xludf.DUMMYFUNCTION("""COMPUTED_VALUE"""),"СФО")</f>
        <v>СФО</v>
      </c>
      <c r="L89" s="1" t="str">
        <f ca="1">IFERROR(__xludf.DUMMYFUNCTION("""COMPUTED_VALUE"""),"г. Змеиногорс , МБУДО,, Змеиногорская СШ """)</f>
        <v>г. Змеиногорс , МБУДО,, Змеиногорская СШ "</v>
      </c>
      <c r="M89" s="1" t="str">
        <f ca="1">IFERROR(__xludf.DUMMYFUNCTION("""COMPUTED_VALUE"""),"г. Змеиногорс ")</f>
        <v xml:space="preserve">г. Змеиногорс </v>
      </c>
      <c r="N89" s="1"/>
      <c r="O89" s="1" t="str">
        <f ca="1">IFERROR(__xludf.DUMMYFUNCTION("""COMPUTED_VALUE"""),"Ломиворотов Сергей Сергеевич ")</f>
        <v xml:space="preserve">Ломиворотов Сергей Сергеевич </v>
      </c>
    </row>
    <row r="90" spans="1:15">
      <c r="A90" s="44"/>
      <c r="B90" s="44"/>
      <c r="C90" s="1">
        <f ca="1">IFERROR(__xludf.DUMMYFUNCTION("""COMPUTED_VALUE"""),58)</f>
        <v>58</v>
      </c>
      <c r="D90" s="1">
        <f ca="1">IFERROR(__xludf.DUMMYFUNCTION("""COMPUTED_VALUE"""),58)</f>
        <v>58</v>
      </c>
      <c r="E90" s="1"/>
      <c r="F90" s="1">
        <f ca="1">IFERROR(__xludf.DUMMYFUNCTION("""COMPUTED_VALUE"""),31)</f>
        <v>31</v>
      </c>
      <c r="G90" s="1" t="str">
        <f ca="1">IFERROR(__xludf.DUMMYFUNCTION("""COMPUTED_VALUE"""),"ГОРДИЕНКО Иван")</f>
        <v>ГОРДИЕНКО Иван</v>
      </c>
      <c r="H90" s="1" t="str">
        <f ca="1">IFERROR(__xludf.DUMMYFUNCTION("""COMPUTED_VALUE"""),"ГОРДИЕНКО Иван Сергеевич")</f>
        <v>ГОРДИЕНКО Иван Сергеевич</v>
      </c>
      <c r="I90" s="1" t="str">
        <f ca="1">IFERROR(__xludf.DUMMYFUNCTION("""COMPUTED_VALUE"""),"17.03.09, 1юн")</f>
        <v>17.03.09, 1юн</v>
      </c>
      <c r="J90" s="1" t="str">
        <f ca="1">IFERROR(__xludf.DUMMYFUNCTION("""COMPUTED_VALUE"""),"1юн")</f>
        <v>1юн</v>
      </c>
      <c r="K90" s="1" t="str">
        <f ca="1">IFERROR(__xludf.DUMMYFUNCTION("""COMPUTED_VALUE"""),"СФО")</f>
        <v>СФО</v>
      </c>
      <c r="L90" s="1" t="str">
        <f ca="1">IFERROR(__xludf.DUMMYFUNCTION("""COMPUTED_VALUE"""),"Мамонтово, Мамонтовская СШ")</f>
        <v>Мамонтово, Мамонтовская СШ</v>
      </c>
      <c r="M90" s="1" t="str">
        <f ca="1">IFERROR(__xludf.DUMMYFUNCTION("""COMPUTED_VALUE"""),"Мамонтово")</f>
        <v>Мамонтово</v>
      </c>
      <c r="N90" s="1"/>
      <c r="O90" s="1" t="str">
        <f ca="1">IFERROR(__xludf.DUMMYFUNCTION("""COMPUTED_VALUE"""),"Гроо В.В.")</f>
        <v>Гроо В.В.</v>
      </c>
    </row>
    <row r="91" spans="1:15">
      <c r="A91" s="44"/>
      <c r="B91" s="44"/>
      <c r="C91" s="1">
        <f ca="1">IFERROR(__xludf.DUMMYFUNCTION("""COMPUTED_VALUE"""),58)</f>
        <v>58</v>
      </c>
      <c r="D91" s="1">
        <f ca="1">IFERROR(__xludf.DUMMYFUNCTION("""COMPUTED_VALUE"""),58)</f>
        <v>58</v>
      </c>
      <c r="E91" s="1"/>
      <c r="F91" s="1">
        <f ca="1">IFERROR(__xludf.DUMMYFUNCTION("""COMPUTED_VALUE"""),33)</f>
        <v>33</v>
      </c>
      <c r="G91" s="1" t="str">
        <f ca="1">IFERROR(__xludf.DUMMYFUNCTION("""COMPUTED_VALUE"""),"ШАРБАТОВ Руслан")</f>
        <v>ШАРБАТОВ Руслан</v>
      </c>
      <c r="H91" s="1" t="str">
        <f ca="1">IFERROR(__xludf.DUMMYFUNCTION("""COMPUTED_VALUE"""),"ШАРБАТОВ Руслан Гылман оглы")</f>
        <v>ШАРБАТОВ Руслан Гылман оглы</v>
      </c>
      <c r="I91" s="1" t="str">
        <f ca="1">IFERROR(__xludf.DUMMYFUNCTION("""COMPUTED_VALUE"""),"06.02.09, 3сп")</f>
        <v>06.02.09, 3сп</v>
      </c>
      <c r="J91" s="1" t="str">
        <f ca="1">IFERROR(__xludf.DUMMYFUNCTION("""COMPUTED_VALUE"""),"3сп")</f>
        <v>3сп</v>
      </c>
      <c r="K91" s="1" t="str">
        <f ca="1">IFERROR(__xludf.DUMMYFUNCTION("""COMPUTED_VALUE"""),"СФО")</f>
        <v>СФО</v>
      </c>
      <c r="L91" s="1" t="str">
        <f ca="1">IFERROR(__xludf.DUMMYFUNCTION("""COMPUTED_VALUE"""),"Заринск, СК ""Метеор+""")</f>
        <v>Заринск, СК "Метеор+"</v>
      </c>
      <c r="M91" s="1" t="str">
        <f ca="1">IFERROR(__xludf.DUMMYFUNCTION("""COMPUTED_VALUE"""),"Заринск")</f>
        <v>Заринск</v>
      </c>
      <c r="N91" s="1"/>
      <c r="O91" s="1" t="str">
        <f ca="1">IFERROR(__xludf.DUMMYFUNCTION("""COMPUTED_VALUE"""),"Казанцев А. Е., Казанцева Л. С")</f>
        <v>Казанцев А. Е., Казанцева Л. С</v>
      </c>
    </row>
    <row r="92" spans="1:15">
      <c r="A92" s="44"/>
      <c r="B92" s="44"/>
      <c r="C92" s="1">
        <f ca="1">IFERROR(__xludf.DUMMYFUNCTION("""COMPUTED_VALUE"""),64)</f>
        <v>64</v>
      </c>
      <c r="D92" s="1">
        <f ca="1">IFERROR(__xludf.DUMMYFUNCTION("""COMPUTED_VALUE"""),64)</f>
        <v>64</v>
      </c>
      <c r="E92" s="1"/>
      <c r="F92" s="1">
        <f ca="1">IFERROR(__xludf.DUMMYFUNCTION("""COMPUTED_VALUE"""),1)</f>
        <v>1</v>
      </c>
      <c r="G92" s="1" t="str">
        <f ca="1">IFERROR(__xludf.DUMMYFUNCTION("""COMPUTED_VALUE"""),"БАСУРМАНОВ  Кирилл ")</f>
        <v xml:space="preserve">БАСУРМАНОВ  Кирилл </v>
      </c>
      <c r="H92" s="1" t="str">
        <f ca="1">IFERROR(__xludf.DUMMYFUNCTION("""COMPUTED_VALUE"""),"БАСУРМАНОВ  Кирилл  Алексеевич")</f>
        <v>БАСУРМАНОВ  Кирилл  Алексеевич</v>
      </c>
      <c r="I92" s="1" t="str">
        <f ca="1">IFERROR(__xludf.DUMMYFUNCTION("""COMPUTED_VALUE"""),"25.04.09, 3сп")</f>
        <v>25.04.09, 3сп</v>
      </c>
      <c r="J92" s="1" t="str">
        <f ca="1">IFERROR(__xludf.DUMMYFUNCTION("""COMPUTED_VALUE"""),"3сп")</f>
        <v>3сп</v>
      </c>
      <c r="K92" s="1" t="str">
        <f ca="1">IFERROR(__xludf.DUMMYFUNCTION("""COMPUTED_VALUE"""),"СФО")</f>
        <v>СФО</v>
      </c>
      <c r="L92" s="1" t="str">
        <f ca="1">IFERROR(__xludf.DUMMYFUNCTION("""COMPUTED_VALUE"""),"Бийск, МБУДО СШОР№3 имени А. Гуляева")</f>
        <v>Бийск, МБУДО СШОР№3 имени А. Гуляева</v>
      </c>
      <c r="M92" s="1" t="str">
        <f ca="1">IFERROR(__xludf.DUMMYFUNCTION("""COMPUTED_VALUE"""),"Бийск")</f>
        <v>Бийск</v>
      </c>
      <c r="N92" s="1"/>
      <c r="O92" s="1" t="str">
        <f ca="1">IFERROR(__xludf.DUMMYFUNCTION("""COMPUTED_VALUE"""),"Акулов В.Н., Шевцова Е.В.")</f>
        <v>Акулов В.Н., Шевцова Е.В.</v>
      </c>
    </row>
    <row r="93" spans="1:15">
      <c r="A93" s="44"/>
      <c r="B93" s="44"/>
      <c r="C93" s="1">
        <f ca="1">IFERROR(__xludf.DUMMYFUNCTION("""COMPUTED_VALUE"""),64)</f>
        <v>64</v>
      </c>
      <c r="D93" s="1">
        <f ca="1">IFERROR(__xludf.DUMMYFUNCTION("""COMPUTED_VALUE"""),64)</f>
        <v>64</v>
      </c>
      <c r="E93" s="1"/>
      <c r="F93" s="1">
        <f ca="1">IFERROR(__xludf.DUMMYFUNCTION("""COMPUTED_VALUE"""),2)</f>
        <v>2</v>
      </c>
      <c r="G93" s="1" t="str">
        <f ca="1">IFERROR(__xludf.DUMMYFUNCTION("""COMPUTED_VALUE"""),"ФОМИНЫХ Константин")</f>
        <v>ФОМИНЫХ Константин</v>
      </c>
      <c r="H93" s="1" t="str">
        <f ca="1">IFERROR(__xludf.DUMMYFUNCTION("""COMPUTED_VALUE"""),"ФОМИНЫХ Константин Михайлович")</f>
        <v>ФОМИНЫХ Константин Михайлович</v>
      </c>
      <c r="I93" s="1" t="str">
        <f ca="1">IFERROR(__xludf.DUMMYFUNCTION("""COMPUTED_VALUE"""),"10.09.11, 3юн")</f>
        <v>10.09.11, 3юн</v>
      </c>
      <c r="J93" s="1" t="str">
        <f ca="1">IFERROR(__xludf.DUMMYFUNCTION("""COMPUTED_VALUE"""),"3юн")</f>
        <v>3юн</v>
      </c>
      <c r="K93" s="1" t="str">
        <f ca="1">IFERROR(__xludf.DUMMYFUNCTION("""COMPUTED_VALUE"""),"СФО")</f>
        <v>СФО</v>
      </c>
      <c r="L93" s="1" t="str">
        <f ca="1">IFERROR(__xludf.DUMMYFUNCTION("""COMPUTED_VALUE"""),"Зональный район, ДЮСШ")</f>
        <v>Зональный район, ДЮСШ</v>
      </c>
      <c r="M93" s="1" t="str">
        <f ca="1">IFERROR(__xludf.DUMMYFUNCTION("""COMPUTED_VALUE"""),"Зональный район")</f>
        <v>Зональный район</v>
      </c>
      <c r="N93" s="1"/>
      <c r="O93" s="1" t="str">
        <f ca="1">IFERROR(__xludf.DUMMYFUNCTION("""COMPUTED_VALUE"""),"Евгений С. Ш. Андрей С. Ш")</f>
        <v>Евгений С. Ш. Андрей С. Ш</v>
      </c>
    </row>
    <row r="94" spans="1:15">
      <c r="A94" s="44"/>
      <c r="B94" s="44"/>
      <c r="C94" s="1">
        <f ca="1">IFERROR(__xludf.DUMMYFUNCTION("""COMPUTED_VALUE"""),64)</f>
        <v>64</v>
      </c>
      <c r="D94" s="1">
        <f ca="1">IFERROR(__xludf.DUMMYFUNCTION("""COMPUTED_VALUE"""),64)</f>
        <v>64</v>
      </c>
      <c r="E94" s="1"/>
      <c r="F94" s="1">
        <f ca="1">IFERROR(__xludf.DUMMYFUNCTION("""COMPUTED_VALUE"""),3)</f>
        <v>3</v>
      </c>
      <c r="G94" s="1" t="str">
        <f ca="1">IFERROR(__xludf.DUMMYFUNCTION("""COMPUTED_VALUE"""),"ТОЛКАЧЕВ  Аркадий ")</f>
        <v xml:space="preserve">ТОЛКАЧЕВ  Аркадий </v>
      </c>
      <c r="H94" s="1" t="str">
        <f ca="1">IFERROR(__xludf.DUMMYFUNCTION("""COMPUTED_VALUE"""),"ТОЛКАЧЕВ  Аркадий  Евгеньевич ")</f>
        <v xml:space="preserve">ТОЛКАЧЕВ  Аркадий  Евгеньевич </v>
      </c>
      <c r="I94" s="1" t="str">
        <f ca="1">IFERROR(__xludf.DUMMYFUNCTION("""COMPUTED_VALUE"""),"25.01.09, 1юн")</f>
        <v>25.01.09, 1юн</v>
      </c>
      <c r="J94" s="1" t="str">
        <f ca="1">IFERROR(__xludf.DUMMYFUNCTION("""COMPUTED_VALUE"""),"1юн")</f>
        <v>1юн</v>
      </c>
      <c r="K94" s="1" t="str">
        <f ca="1">IFERROR(__xludf.DUMMYFUNCTION("""COMPUTED_VALUE"""),"СФО")</f>
        <v>СФО</v>
      </c>
      <c r="L94" s="1" t="str">
        <f ca="1">IFERROR(__xludf.DUMMYFUNCTION("""COMPUTED_VALUE"""),"Барнаул , ДЮСШ Ирбис ")</f>
        <v xml:space="preserve">Барнаул , ДЮСШ Ирбис </v>
      </c>
      <c r="M94" s="1" t="str">
        <f ca="1">IFERROR(__xludf.DUMMYFUNCTION("""COMPUTED_VALUE"""),"Барнаул ")</f>
        <v xml:space="preserve">Барнаул </v>
      </c>
      <c r="N94" s="1"/>
      <c r="O94" s="1" t="str">
        <f ca="1">IFERROR(__xludf.DUMMYFUNCTION("""COMPUTED_VALUE"""),"Торопынин А.Е.")</f>
        <v>Торопынин А.Е.</v>
      </c>
    </row>
    <row r="95" spans="1:15">
      <c r="A95" s="44"/>
      <c r="B95" s="44"/>
      <c r="C95" s="1">
        <f ca="1">IFERROR(__xludf.DUMMYFUNCTION("""COMPUTED_VALUE"""),64)</f>
        <v>64</v>
      </c>
      <c r="D95" s="1">
        <f ca="1">IFERROR(__xludf.DUMMYFUNCTION("""COMPUTED_VALUE"""),64)</f>
        <v>64</v>
      </c>
      <c r="E95" s="1"/>
      <c r="F95" s="1">
        <f ca="1">IFERROR(__xludf.DUMMYFUNCTION("""COMPUTED_VALUE"""),4)</f>
        <v>4</v>
      </c>
      <c r="G95" s="1" t="str">
        <f ca="1">IFERROR(__xludf.DUMMYFUNCTION("""COMPUTED_VALUE"""),"КАБИЦКИЙ  Егор ")</f>
        <v xml:space="preserve">КАБИЦКИЙ  Егор </v>
      </c>
      <c r="H95" s="1" t="str">
        <f ca="1">IFERROR(__xludf.DUMMYFUNCTION("""COMPUTED_VALUE"""),"КАБИЦКИЙ  Егор  Юрьевич ")</f>
        <v xml:space="preserve">КАБИЦКИЙ  Егор  Юрьевич </v>
      </c>
      <c r="I95" s="1" t="str">
        <f ca="1">IFERROR(__xludf.DUMMYFUNCTION("""COMPUTED_VALUE"""),"10.07.10, 3юн")</f>
        <v>10.07.10, 3юн</v>
      </c>
      <c r="J95" s="1" t="str">
        <f ca="1">IFERROR(__xludf.DUMMYFUNCTION("""COMPUTED_VALUE"""),"3юн")</f>
        <v>3юн</v>
      </c>
      <c r="K95" s="1" t="str">
        <f ca="1">IFERROR(__xludf.DUMMYFUNCTION("""COMPUTED_VALUE"""),"СФО")</f>
        <v>СФО</v>
      </c>
      <c r="L95" s="1" t="str">
        <f ca="1">IFERROR(__xludf.DUMMYFUNCTION("""COMPUTED_VALUE"""),"Барнаул , КСШОР ")</f>
        <v xml:space="preserve">Барнаул , КСШОР </v>
      </c>
      <c r="M95" s="1" t="str">
        <f ca="1">IFERROR(__xludf.DUMMYFUNCTION("""COMPUTED_VALUE"""),"Барнаул ")</f>
        <v xml:space="preserve">Барнаул </v>
      </c>
      <c r="N95" s="1"/>
      <c r="O95" s="1" t="str">
        <f ca="1">IFERROR(__xludf.DUMMYFUNCTION("""COMPUTED_VALUE"""),"Хоружев А.И. ")</f>
        <v xml:space="preserve">Хоружев А.И. </v>
      </c>
    </row>
    <row r="96" spans="1:15">
      <c r="A96" s="44"/>
      <c r="B96" s="44"/>
      <c r="C96" s="1">
        <f ca="1">IFERROR(__xludf.DUMMYFUNCTION("""COMPUTED_VALUE"""),64)</f>
        <v>64</v>
      </c>
      <c r="D96" s="1">
        <f ca="1">IFERROR(__xludf.DUMMYFUNCTION("""COMPUTED_VALUE"""),64)</f>
        <v>64</v>
      </c>
      <c r="E96" s="1"/>
      <c r="F96" s="1">
        <f ca="1">IFERROR(__xludf.DUMMYFUNCTION("""COMPUTED_VALUE"""),5)</f>
        <v>5</v>
      </c>
      <c r="G96" s="1" t="str">
        <f ca="1">IFERROR(__xludf.DUMMYFUNCTION("""COMPUTED_VALUE"""),"ИГНАШИН Степан ")</f>
        <v xml:space="preserve">ИГНАШИН Степан </v>
      </c>
      <c r="H96" s="1" t="str">
        <f ca="1">IFERROR(__xludf.DUMMYFUNCTION("""COMPUTED_VALUE"""),"ИГНАШИН Степан  Константинович")</f>
        <v>ИГНАШИН Степан  Константинович</v>
      </c>
      <c r="I96" s="1" t="str">
        <f ca="1">IFERROR(__xludf.DUMMYFUNCTION("""COMPUTED_VALUE"""),"08.09.09, 2сп")</f>
        <v>08.09.09, 2сп</v>
      </c>
      <c r="J96" s="1" t="str">
        <f ca="1">IFERROR(__xludf.DUMMYFUNCTION("""COMPUTED_VALUE"""),"2сп")</f>
        <v>2сп</v>
      </c>
      <c r="K96" s="1" t="str">
        <f ca="1">IFERROR(__xludf.DUMMYFUNCTION("""COMPUTED_VALUE"""),"СФО")</f>
        <v>СФО</v>
      </c>
      <c r="L96" s="1" t="str">
        <f ca="1">IFERROR(__xludf.DUMMYFUNCTION("""COMPUTED_VALUE"""),"Благовещенка, СШ")</f>
        <v>Благовещенка, СШ</v>
      </c>
      <c r="M96" s="1" t="str">
        <f ca="1">IFERROR(__xludf.DUMMYFUNCTION("""COMPUTED_VALUE"""),"Благовещенка")</f>
        <v>Благовещенка</v>
      </c>
      <c r="N96" s="1"/>
      <c r="O96" s="1" t="str">
        <f ca="1">IFERROR(__xludf.DUMMYFUNCTION("""COMPUTED_VALUE"""),"Дегтярев А. К.")</f>
        <v>Дегтярев А. К.</v>
      </c>
    </row>
    <row r="97" spans="1:15">
      <c r="A97" s="44"/>
      <c r="B97" s="44"/>
      <c r="C97" s="1">
        <f ca="1">IFERROR(__xludf.DUMMYFUNCTION("""COMPUTED_VALUE"""),64)</f>
        <v>64</v>
      </c>
      <c r="D97" s="1">
        <f ca="1">IFERROR(__xludf.DUMMYFUNCTION("""COMPUTED_VALUE"""),64)</f>
        <v>64</v>
      </c>
      <c r="E97" s="1"/>
      <c r="F97" s="1">
        <f ca="1">IFERROR(__xludf.DUMMYFUNCTION("""COMPUTED_VALUE"""),6)</f>
        <v>6</v>
      </c>
      <c r="G97" s="1" t="str">
        <f ca="1">IFERROR(__xludf.DUMMYFUNCTION("""COMPUTED_VALUE"""),"МАЙДОРОВ Семëн")</f>
        <v>МАЙДОРОВ Семëн</v>
      </c>
      <c r="H97" s="1" t="str">
        <f ca="1">IFERROR(__xludf.DUMMYFUNCTION("""COMPUTED_VALUE"""),"МАЙДОРОВ Семëн Алексеевич")</f>
        <v>МАЙДОРОВ Семëн Алексеевич</v>
      </c>
      <c r="I97" s="1" t="str">
        <f ca="1">IFERROR(__xludf.DUMMYFUNCTION("""COMPUTED_VALUE"""),"07.02.10, 2юн")</f>
        <v>07.02.10, 2юн</v>
      </c>
      <c r="J97" s="1" t="str">
        <f ca="1">IFERROR(__xludf.DUMMYFUNCTION("""COMPUTED_VALUE"""),"2юн")</f>
        <v>2юн</v>
      </c>
      <c r="K97" s="1" t="str">
        <f ca="1">IFERROR(__xludf.DUMMYFUNCTION("""COMPUTED_VALUE"""),"СФО")</f>
        <v>СФО</v>
      </c>
      <c r="L97" s="1" t="str">
        <f ca="1">IFERROR(__xludf.DUMMYFUNCTION("""COMPUTED_VALUE"""),"Санниково, Дюсш Первомайского района ")</f>
        <v xml:space="preserve">Санниково, Дюсш Первомайского района </v>
      </c>
      <c r="M97" s="1" t="str">
        <f ca="1">IFERROR(__xludf.DUMMYFUNCTION("""COMPUTED_VALUE"""),"Санниково")</f>
        <v>Санниково</v>
      </c>
      <c r="N97" s="1"/>
      <c r="O97" s="1" t="str">
        <f ca="1">IFERROR(__xludf.DUMMYFUNCTION("""COMPUTED_VALUE"""),"Таскин А.Ю.")</f>
        <v>Таскин А.Ю.</v>
      </c>
    </row>
    <row r="98" spans="1:15">
      <c r="A98" s="44"/>
      <c r="B98" s="44"/>
      <c r="C98" s="1">
        <f ca="1">IFERROR(__xludf.DUMMYFUNCTION("""COMPUTED_VALUE"""),64)</f>
        <v>64</v>
      </c>
      <c r="D98" s="1">
        <f ca="1">IFERROR(__xludf.DUMMYFUNCTION("""COMPUTED_VALUE"""),64)</f>
        <v>64</v>
      </c>
      <c r="E98" s="1"/>
      <c r="F98" s="1">
        <f ca="1">IFERROR(__xludf.DUMMYFUNCTION("""COMPUTED_VALUE"""),7)</f>
        <v>7</v>
      </c>
      <c r="G98" s="1" t="str">
        <f ca="1">IFERROR(__xludf.DUMMYFUNCTION("""COMPUTED_VALUE"""),"ТЯМУКОВ Максим")</f>
        <v>ТЯМУКОВ Максим</v>
      </c>
      <c r="H98" s="1" t="str">
        <f ca="1">IFERROR(__xludf.DUMMYFUNCTION("""COMPUTED_VALUE"""),"ТЯМУКОВ Максим Андреевич ")</f>
        <v xml:space="preserve">ТЯМУКОВ Максим Андреевич </v>
      </c>
      <c r="I98" s="1" t="str">
        <f ca="1">IFERROR(__xludf.DUMMYFUNCTION("""COMPUTED_VALUE"""),"28.04.10, 3юн")</f>
        <v>28.04.10, 3юн</v>
      </c>
      <c r="J98" s="1" t="str">
        <f ca="1">IFERROR(__xludf.DUMMYFUNCTION("""COMPUTED_VALUE"""),"3юн")</f>
        <v>3юн</v>
      </c>
      <c r="K98" s="1" t="str">
        <f ca="1">IFERROR(__xludf.DUMMYFUNCTION("""COMPUTED_VALUE"""),"СФО")</f>
        <v>СФО</v>
      </c>
      <c r="L98" s="1" t="str">
        <f ca="1">IFERROR(__xludf.DUMMYFUNCTION("""COMPUTED_VALUE"""),"Табуны, МБУ ДО ТСШ ")</f>
        <v xml:space="preserve">Табуны, МБУ ДО ТСШ </v>
      </c>
      <c r="M98" s="1" t="str">
        <f ca="1">IFERROR(__xludf.DUMMYFUNCTION("""COMPUTED_VALUE"""),"Табуны")</f>
        <v>Табуны</v>
      </c>
      <c r="N98" s="1"/>
      <c r="O98" s="1" t="str">
        <f ca="1">IFERROR(__xludf.DUMMYFUNCTION("""COMPUTED_VALUE"""),"Буханцев А.Д.")</f>
        <v>Буханцев А.Д.</v>
      </c>
    </row>
    <row r="99" spans="1:15">
      <c r="A99" s="44"/>
      <c r="B99" s="44"/>
      <c r="C99" s="1">
        <f ca="1">IFERROR(__xludf.DUMMYFUNCTION("""COMPUTED_VALUE"""),64)</f>
        <v>64</v>
      </c>
      <c r="D99" s="1">
        <f ca="1">IFERROR(__xludf.DUMMYFUNCTION("""COMPUTED_VALUE"""),64)</f>
        <v>64</v>
      </c>
      <c r="E99" s="1"/>
      <c r="F99" s="1">
        <f ca="1">IFERROR(__xludf.DUMMYFUNCTION("""COMPUTED_VALUE"""),8)</f>
        <v>8</v>
      </c>
      <c r="G99" s="1" t="str">
        <f ca="1">IFERROR(__xludf.DUMMYFUNCTION("""COMPUTED_VALUE"""),"БУТАКОВ Дмитрий")</f>
        <v>БУТАКОВ Дмитрий</v>
      </c>
      <c r="H99" s="1" t="str">
        <f ca="1">IFERROR(__xludf.DUMMYFUNCTION("""COMPUTED_VALUE"""),"БУТАКОВ Дмитрий Николаевич")</f>
        <v>БУТАКОВ Дмитрий Николаевич</v>
      </c>
      <c r="I99" s="1" t="str">
        <f ca="1">IFERROR(__xludf.DUMMYFUNCTION("""COMPUTED_VALUE"""),"15.09.10, 1юн")</f>
        <v>15.09.10, 1юн</v>
      </c>
      <c r="J99" s="1" t="str">
        <f ca="1">IFERROR(__xludf.DUMMYFUNCTION("""COMPUTED_VALUE"""),"1юн")</f>
        <v>1юн</v>
      </c>
      <c r="K99" s="1" t="str">
        <f ca="1">IFERROR(__xludf.DUMMYFUNCTION("""COMPUTED_VALUE"""),"СФО")</f>
        <v>СФО</v>
      </c>
      <c r="L99" s="1" t="str">
        <f ca="1">IFERROR(__xludf.DUMMYFUNCTION("""COMPUTED_VALUE"""),"Бийск, СШОР №3")</f>
        <v>Бийск, СШОР №3</v>
      </c>
      <c r="M99" s="1" t="str">
        <f ca="1">IFERROR(__xludf.DUMMYFUNCTION("""COMPUTED_VALUE"""),"Бийск")</f>
        <v>Бийск</v>
      </c>
      <c r="N99" s="1"/>
      <c r="O99" s="1" t="str">
        <f ca="1">IFERROR(__xludf.DUMMYFUNCTION("""COMPUTED_VALUE"""),"Шалюта П.В., Паринова Т.В.")</f>
        <v>Шалюта П.В., Паринова Т.В.</v>
      </c>
    </row>
    <row r="100" spans="1:15">
      <c r="A100" s="44"/>
      <c r="B100" s="44"/>
      <c r="C100" s="1">
        <f ca="1">IFERROR(__xludf.DUMMYFUNCTION("""COMPUTED_VALUE"""),64)</f>
        <v>64</v>
      </c>
      <c r="D100" s="1">
        <f ca="1">IFERROR(__xludf.DUMMYFUNCTION("""COMPUTED_VALUE"""),64)</f>
        <v>64</v>
      </c>
      <c r="E100" s="1"/>
      <c r="F100" s="1">
        <f ca="1">IFERROR(__xludf.DUMMYFUNCTION("""COMPUTED_VALUE"""),9)</f>
        <v>9</v>
      </c>
      <c r="G100" s="1" t="str">
        <f ca="1">IFERROR(__xludf.DUMMYFUNCTION("""COMPUTED_VALUE"""),"КУЛДЫРКАЕВ Никита")</f>
        <v>КУЛДЫРКАЕВ Никита</v>
      </c>
      <c r="H100" s="1" t="str">
        <f ca="1">IFERROR(__xludf.DUMMYFUNCTION("""COMPUTED_VALUE"""),"КУЛДЫРКАЕВ Никита Денисович")</f>
        <v>КУЛДЫРКАЕВ Никита Денисович</v>
      </c>
      <c r="I100" s="1" t="str">
        <f ca="1">IFERROR(__xludf.DUMMYFUNCTION("""COMPUTED_VALUE"""),"14.06.10, 3сп")</f>
        <v>14.06.10, 3сп</v>
      </c>
      <c r="J100" s="1" t="str">
        <f ca="1">IFERROR(__xludf.DUMMYFUNCTION("""COMPUTED_VALUE"""),"3сп")</f>
        <v>3сп</v>
      </c>
      <c r="K100" s="1" t="str">
        <f ca="1">IFERROR(__xludf.DUMMYFUNCTION("""COMPUTED_VALUE"""),"СФО")</f>
        <v>СФО</v>
      </c>
      <c r="L100" s="1" t="str">
        <f ca="1">IFERROR(__xludf.DUMMYFUNCTION("""COMPUTED_VALUE"""),"Заринск, Мау спорт ""Факел""")</f>
        <v>Заринск, Мау спорт "Факел"</v>
      </c>
      <c r="M100" s="1" t="str">
        <f ca="1">IFERROR(__xludf.DUMMYFUNCTION("""COMPUTED_VALUE"""),"Заринск")</f>
        <v>Заринск</v>
      </c>
      <c r="N100" s="1"/>
      <c r="O100" s="1" t="str">
        <f ca="1">IFERROR(__xludf.DUMMYFUNCTION("""COMPUTED_VALUE"""),"Блинов А.В.")</f>
        <v>Блинов А.В.</v>
      </c>
    </row>
    <row r="101" spans="1:15">
      <c r="A101" s="44"/>
      <c r="B101" s="44"/>
      <c r="C101" s="1">
        <f ca="1">IFERROR(__xludf.DUMMYFUNCTION("""COMPUTED_VALUE"""),64)</f>
        <v>64</v>
      </c>
      <c r="D101" s="1">
        <f ca="1">IFERROR(__xludf.DUMMYFUNCTION("""COMPUTED_VALUE"""),64)</f>
        <v>64</v>
      </c>
      <c r="E101" s="1"/>
      <c r="F101" s="1">
        <f ca="1">IFERROR(__xludf.DUMMYFUNCTION("""COMPUTED_VALUE"""),10)</f>
        <v>10</v>
      </c>
      <c r="G101" s="1" t="str">
        <f ca="1">IFERROR(__xludf.DUMMYFUNCTION("""COMPUTED_VALUE"""),"ДМИТРИЕВ Андрей ")</f>
        <v xml:space="preserve">ДМИТРИЕВ Андрей </v>
      </c>
      <c r="H101" s="1" t="str">
        <f ca="1">IFERROR(__xludf.DUMMYFUNCTION("""COMPUTED_VALUE"""),"ДМИТРИЕВ Андрей  Александрович ")</f>
        <v xml:space="preserve">ДМИТРИЕВ Андрей  Александрович </v>
      </c>
      <c r="I101" s="1" t="str">
        <f ca="1">IFERROR(__xludf.DUMMYFUNCTION("""COMPUTED_VALUE"""),"22.06.10, 3юн")</f>
        <v>22.06.10, 3юн</v>
      </c>
      <c r="J101" s="1" t="str">
        <f ca="1">IFERROR(__xludf.DUMMYFUNCTION("""COMPUTED_VALUE"""),"3юн")</f>
        <v>3юн</v>
      </c>
      <c r="K101" s="1" t="str">
        <f ca="1">IFERROR(__xludf.DUMMYFUNCTION("""COMPUTED_VALUE"""),"СФО")</f>
        <v>СФО</v>
      </c>
      <c r="L101" s="1" t="str">
        <f ca="1">IFERROR(__xludf.DUMMYFUNCTION("""COMPUTED_VALUE"""),"Бийск , СШОР №3 им.А.Гуляева")</f>
        <v>Бийск , СШОР №3 им.А.Гуляева</v>
      </c>
      <c r="M101" s="1" t="str">
        <f ca="1">IFERROR(__xludf.DUMMYFUNCTION("""COMPUTED_VALUE"""),"Бийск ")</f>
        <v xml:space="preserve">Бийск </v>
      </c>
      <c r="N101" s="1"/>
      <c r="O101" s="1" t="str">
        <f ca="1">IFERROR(__xludf.DUMMYFUNCTION("""COMPUTED_VALUE"""),"Теренин П.В., Кайгородов О.С.")</f>
        <v>Теренин П.В., Кайгородов О.С.</v>
      </c>
    </row>
    <row r="102" spans="1:15">
      <c r="A102" s="44"/>
      <c r="B102" s="44"/>
      <c r="C102" s="1">
        <f ca="1">IFERROR(__xludf.DUMMYFUNCTION("""COMPUTED_VALUE"""),64)</f>
        <v>64</v>
      </c>
      <c r="D102" s="1">
        <f ca="1">IFERROR(__xludf.DUMMYFUNCTION("""COMPUTED_VALUE"""),64)</f>
        <v>64</v>
      </c>
      <c r="E102" s="1"/>
      <c r="F102" s="1">
        <f ca="1">IFERROR(__xludf.DUMMYFUNCTION("""COMPUTED_VALUE"""),11)</f>
        <v>11</v>
      </c>
      <c r="G102" s="1" t="str">
        <f ca="1">IFERROR(__xludf.DUMMYFUNCTION("""COMPUTED_VALUE"""),"СКУДАРНОВ  Павел ")</f>
        <v xml:space="preserve">СКУДАРНОВ  Павел </v>
      </c>
      <c r="H102" s="1" t="str">
        <f ca="1">IFERROR(__xludf.DUMMYFUNCTION("""COMPUTED_VALUE"""),"СКУДАРНОВ  Павел  Александрович ")</f>
        <v xml:space="preserve">СКУДАРНОВ  Павел  Александрович </v>
      </c>
      <c r="I102" s="1" t="str">
        <f ca="1">IFERROR(__xludf.DUMMYFUNCTION("""COMPUTED_VALUE"""),"26.10.10, 1юн")</f>
        <v>26.10.10, 1юн</v>
      </c>
      <c r="J102" s="1" t="str">
        <f ca="1">IFERROR(__xludf.DUMMYFUNCTION("""COMPUTED_VALUE"""),"1юн")</f>
        <v>1юн</v>
      </c>
      <c r="K102" s="1" t="str">
        <f ca="1">IFERROR(__xludf.DUMMYFUNCTION("""COMPUTED_VALUE"""),"СФО")</f>
        <v>СФО</v>
      </c>
      <c r="L102" s="1" t="str">
        <f ca="1">IFERROR(__xludf.DUMMYFUNCTION("""COMPUTED_VALUE"""),"Барнаул , КСШОР ")</f>
        <v xml:space="preserve">Барнаул , КСШОР </v>
      </c>
      <c r="M102" s="1" t="str">
        <f ca="1">IFERROR(__xludf.DUMMYFUNCTION("""COMPUTED_VALUE"""),"Барнаул ")</f>
        <v xml:space="preserve">Барнаул </v>
      </c>
      <c r="N102" s="1"/>
      <c r="O102" s="1" t="str">
        <f ca="1">IFERROR(__xludf.DUMMYFUNCTION("""COMPUTED_VALUE"""),"Хоружев А.И. ")</f>
        <v xml:space="preserve">Хоружев А.И. </v>
      </c>
    </row>
    <row r="103" spans="1:15">
      <c r="A103" s="44"/>
      <c r="B103" s="44"/>
      <c r="C103" s="1">
        <f ca="1">IFERROR(__xludf.DUMMYFUNCTION("""COMPUTED_VALUE"""),64)</f>
        <v>64</v>
      </c>
      <c r="D103" s="1">
        <f ca="1">IFERROR(__xludf.DUMMYFUNCTION("""COMPUTED_VALUE"""),64)</f>
        <v>64</v>
      </c>
      <c r="E103" s="1"/>
      <c r="F103" s="1">
        <f ca="1">IFERROR(__xludf.DUMMYFUNCTION("""COMPUTED_VALUE"""),12)</f>
        <v>12</v>
      </c>
      <c r="G103" s="1" t="str">
        <f ca="1">IFERROR(__xludf.DUMMYFUNCTION("""COMPUTED_VALUE"""),"ДОМАРОВ Никита")</f>
        <v>ДОМАРОВ Никита</v>
      </c>
      <c r="H103" s="1" t="str">
        <f ca="1">IFERROR(__xludf.DUMMYFUNCTION("""COMPUTED_VALUE"""),"ДОМАРОВ Никита Сергеевич")</f>
        <v>ДОМАРОВ Никита Сергеевич</v>
      </c>
      <c r="I103" s="1" t="str">
        <f ca="1">IFERROR(__xludf.DUMMYFUNCTION("""COMPUTED_VALUE"""),"18.06.09, 2юн")</f>
        <v>18.06.09, 2юн</v>
      </c>
      <c r="J103" s="1" t="str">
        <f ca="1">IFERROR(__xludf.DUMMYFUNCTION("""COMPUTED_VALUE"""),"2юн")</f>
        <v>2юн</v>
      </c>
      <c r="K103" s="1" t="str">
        <f ca="1">IFERROR(__xludf.DUMMYFUNCTION("""COMPUTED_VALUE"""),"СФО")</f>
        <v>СФО</v>
      </c>
      <c r="L103" s="1" t="str">
        <f ca="1">IFERROR(__xludf.DUMMYFUNCTION("""COMPUTED_VALUE"""),"Благовещенка, Благовещенская ДЮСШ")</f>
        <v>Благовещенка, Благовещенская ДЮСШ</v>
      </c>
      <c r="M103" s="1" t="str">
        <f ca="1">IFERROR(__xludf.DUMMYFUNCTION("""COMPUTED_VALUE"""),"Благовещенка")</f>
        <v>Благовещенка</v>
      </c>
      <c r="N103" s="1"/>
      <c r="O103" s="1" t="str">
        <f ca="1">IFERROR(__xludf.DUMMYFUNCTION("""COMPUTED_VALUE"""),"Екименко Антон Васильевич")</f>
        <v>Екименко Антон Васильевич</v>
      </c>
    </row>
    <row r="104" spans="1:15">
      <c r="A104" s="44"/>
      <c r="B104" s="44"/>
      <c r="C104" s="1">
        <f ca="1">IFERROR(__xludf.DUMMYFUNCTION("""COMPUTED_VALUE"""),64)</f>
        <v>64</v>
      </c>
      <c r="D104" s="1">
        <f ca="1">IFERROR(__xludf.DUMMYFUNCTION("""COMPUTED_VALUE"""),64)</f>
        <v>64</v>
      </c>
      <c r="E104" s="1"/>
      <c r="F104" s="1">
        <f ca="1">IFERROR(__xludf.DUMMYFUNCTION("""COMPUTED_VALUE"""),13)</f>
        <v>13</v>
      </c>
      <c r="G104" s="1" t="str">
        <f ca="1">IFERROR(__xludf.DUMMYFUNCTION("""COMPUTED_VALUE"""),"ТОЛМАЧЕВ Матвей")</f>
        <v>ТОЛМАЧЕВ Матвей</v>
      </c>
      <c r="H104" s="1" t="str">
        <f ca="1">IFERROR(__xludf.DUMMYFUNCTION("""COMPUTED_VALUE"""),"ТОЛМАЧЕВ Матвей Евгеньевич")</f>
        <v>ТОЛМАЧЕВ Матвей Евгеньевич</v>
      </c>
      <c r="I104" s="1" t="str">
        <f ca="1">IFERROR(__xludf.DUMMYFUNCTION("""COMPUTED_VALUE"""),"04.02.09, 1сп")</f>
        <v>04.02.09, 1сп</v>
      </c>
      <c r="J104" s="1" t="str">
        <f ca="1">IFERROR(__xludf.DUMMYFUNCTION("""COMPUTED_VALUE"""),"1сп")</f>
        <v>1сп</v>
      </c>
      <c r="K104" s="1" t="str">
        <f ca="1">IFERROR(__xludf.DUMMYFUNCTION("""COMPUTED_VALUE"""),"СФО")</f>
        <v>СФО</v>
      </c>
      <c r="L104" s="1" t="str">
        <f ca="1">IFERROR(__xludf.DUMMYFUNCTION("""COMPUTED_VALUE"""),"Бийск, СШОР №3")</f>
        <v>Бийск, СШОР №3</v>
      </c>
      <c r="M104" s="1" t="str">
        <f ca="1">IFERROR(__xludf.DUMMYFUNCTION("""COMPUTED_VALUE"""),"Бийск")</f>
        <v>Бийск</v>
      </c>
      <c r="N104" s="1"/>
      <c r="O104" s="1" t="str">
        <f ca="1">IFERROR(__xludf.DUMMYFUNCTION("""COMPUTED_VALUE"""),"Шалюта П.В., Паринова Т.В.")</f>
        <v>Шалюта П.В., Паринова Т.В.</v>
      </c>
    </row>
    <row r="105" spans="1:15">
      <c r="A105" s="44"/>
      <c r="B105" s="44"/>
      <c r="C105" s="1">
        <f ca="1">IFERROR(__xludf.DUMMYFUNCTION("""COMPUTED_VALUE"""),64)</f>
        <v>64</v>
      </c>
      <c r="D105" s="1">
        <f ca="1">IFERROR(__xludf.DUMMYFUNCTION("""COMPUTED_VALUE"""),64)</f>
        <v>64</v>
      </c>
      <c r="E105" s="1"/>
      <c r="F105" s="1">
        <f ca="1">IFERROR(__xludf.DUMMYFUNCTION("""COMPUTED_VALUE"""),14)</f>
        <v>14</v>
      </c>
      <c r="G105" s="1" t="str">
        <f ca="1">IFERROR(__xludf.DUMMYFUNCTION("""COMPUTED_VALUE"""),"ШТРАУХ Вадим")</f>
        <v>ШТРАУХ Вадим</v>
      </c>
      <c r="H105" s="1" t="str">
        <f ca="1">IFERROR(__xludf.DUMMYFUNCTION("""COMPUTED_VALUE"""),"ШТРАУХ Вадим Иванович")</f>
        <v>ШТРАУХ Вадим Иванович</v>
      </c>
      <c r="I105" s="1" t="str">
        <f ca="1">IFERROR(__xludf.DUMMYFUNCTION("""COMPUTED_VALUE"""),"28.06.10, 1юн")</f>
        <v>28.06.10, 1юн</v>
      </c>
      <c r="J105" s="1" t="str">
        <f ca="1">IFERROR(__xludf.DUMMYFUNCTION("""COMPUTED_VALUE"""),"1юн")</f>
        <v>1юн</v>
      </c>
      <c r="K105" s="1" t="str">
        <f ca="1">IFERROR(__xludf.DUMMYFUNCTION("""COMPUTED_VALUE"""),"СФО")</f>
        <v>СФО</v>
      </c>
      <c r="L105" s="1" t="str">
        <f ca="1">IFERROR(__xludf.DUMMYFUNCTION("""COMPUTED_VALUE"""),"Зональный Район, Зональная ДЮСЩ")</f>
        <v>Зональный Район, Зональная ДЮСЩ</v>
      </c>
      <c r="M105" s="1" t="str">
        <f ca="1">IFERROR(__xludf.DUMMYFUNCTION("""COMPUTED_VALUE"""),"Зональный Район")</f>
        <v>Зональный Район</v>
      </c>
      <c r="N105" s="1"/>
      <c r="O105" s="1" t="str">
        <f ca="1">IFERROR(__xludf.DUMMYFUNCTION("""COMPUTED_VALUE"""),"Шуликов Е.С. Шуликов А.С.")</f>
        <v>Шуликов Е.С. Шуликов А.С.</v>
      </c>
    </row>
    <row r="106" spans="1:15">
      <c r="A106" s="44"/>
      <c r="B106" s="44"/>
      <c r="C106" s="1">
        <f ca="1">IFERROR(__xludf.DUMMYFUNCTION("""COMPUTED_VALUE"""),64)</f>
        <v>64</v>
      </c>
      <c r="D106" s="1">
        <f ca="1">IFERROR(__xludf.DUMMYFUNCTION("""COMPUTED_VALUE"""),64)</f>
        <v>64</v>
      </c>
      <c r="E106" s="1"/>
      <c r="F106" s="1">
        <f ca="1">IFERROR(__xludf.DUMMYFUNCTION("""COMPUTED_VALUE"""),15)</f>
        <v>15</v>
      </c>
      <c r="G106" s="1" t="str">
        <f ca="1">IFERROR(__xludf.DUMMYFUNCTION("""COMPUTED_VALUE"""),"НОВИКОВ Сергей ")</f>
        <v xml:space="preserve">НОВИКОВ Сергей </v>
      </c>
      <c r="H106" s="1" t="str">
        <f ca="1">IFERROR(__xludf.DUMMYFUNCTION("""COMPUTED_VALUE"""),"НОВИКОВ Сергей  Андреевич")</f>
        <v>НОВИКОВ Сергей  Андреевич</v>
      </c>
      <c r="I106" s="1" t="str">
        <f ca="1">IFERROR(__xludf.DUMMYFUNCTION("""COMPUTED_VALUE"""),"16.09.09, 2юн")</f>
        <v>16.09.09, 2юн</v>
      </c>
      <c r="J106" s="1" t="str">
        <f ca="1">IFERROR(__xludf.DUMMYFUNCTION("""COMPUTED_VALUE"""),"2юн")</f>
        <v>2юн</v>
      </c>
      <c r="K106" s="1" t="str">
        <f ca="1">IFERROR(__xludf.DUMMYFUNCTION("""COMPUTED_VALUE"""),"СФО")</f>
        <v>СФО</v>
      </c>
      <c r="L106" s="1" t="str">
        <f ca="1">IFERROR(__xludf.DUMMYFUNCTION("""COMPUTED_VALUE"""),"Бийск , СШОР №3 им.А.Гуляева")</f>
        <v>Бийск , СШОР №3 им.А.Гуляева</v>
      </c>
      <c r="M106" s="1" t="str">
        <f ca="1">IFERROR(__xludf.DUMMYFUNCTION("""COMPUTED_VALUE"""),"Бийск ")</f>
        <v xml:space="preserve">Бийск </v>
      </c>
      <c r="N106" s="1"/>
      <c r="O106" s="1" t="str">
        <f ca="1">IFERROR(__xludf.DUMMYFUNCTION("""COMPUTED_VALUE"""),"Теренин П.В., Кайгородов О.С.")</f>
        <v>Теренин П.В., Кайгородов О.С.</v>
      </c>
    </row>
    <row r="107" spans="1:15">
      <c r="A107" s="44"/>
      <c r="B107" s="44"/>
      <c r="C107" s="1">
        <f ca="1">IFERROR(__xludf.DUMMYFUNCTION("""COMPUTED_VALUE"""),64)</f>
        <v>64</v>
      </c>
      <c r="D107" s="1">
        <f ca="1">IFERROR(__xludf.DUMMYFUNCTION("""COMPUTED_VALUE"""),64)</f>
        <v>64</v>
      </c>
      <c r="E107" s="1"/>
      <c r="F107" s="1">
        <f ca="1">IFERROR(__xludf.DUMMYFUNCTION("""COMPUTED_VALUE"""),16)</f>
        <v>16</v>
      </c>
      <c r="G107" s="1" t="str">
        <f ca="1">IFERROR(__xludf.DUMMYFUNCTION("""COMPUTED_VALUE"""),"ЛАРИН Ярослав")</f>
        <v>ЛАРИН Ярослав</v>
      </c>
      <c r="H107" s="1" t="str">
        <f ca="1">IFERROR(__xludf.DUMMYFUNCTION("""COMPUTED_VALUE"""),"ЛАРИН Ярослав Андреевич")</f>
        <v>ЛАРИН Ярослав Андреевич</v>
      </c>
      <c r="I107" s="1" t="str">
        <f ca="1">IFERROR(__xludf.DUMMYFUNCTION("""COMPUTED_VALUE"""),"14.07.09, 2юн")</f>
        <v>14.07.09, 2юн</v>
      </c>
      <c r="J107" s="1" t="str">
        <f ca="1">IFERROR(__xludf.DUMMYFUNCTION("""COMPUTED_VALUE"""),"2юн")</f>
        <v>2юн</v>
      </c>
      <c r="K107" s="1" t="str">
        <f ca="1">IFERROR(__xludf.DUMMYFUNCTION("""COMPUTED_VALUE"""),"СФО")</f>
        <v>СФО</v>
      </c>
      <c r="L107" s="1" t="str">
        <f ca="1">IFERROR(__xludf.DUMMYFUNCTION("""COMPUTED_VALUE"""),"Шипуново, Шипуновсая дюсш")</f>
        <v>Шипуново, Шипуновсая дюсш</v>
      </c>
      <c r="M107" s="1" t="str">
        <f ca="1">IFERROR(__xludf.DUMMYFUNCTION("""COMPUTED_VALUE"""),"Шипуново")</f>
        <v>Шипуново</v>
      </c>
      <c r="N107" s="1"/>
      <c r="O107" s="1" t="str">
        <f ca="1">IFERROR(__xludf.DUMMYFUNCTION("""COMPUTED_VALUE"""),"В. М. Куликов. Д.В. Курочка")</f>
        <v>В. М. Куликов. Д.В. Курочка</v>
      </c>
    </row>
    <row r="108" spans="1:15">
      <c r="A108" s="44"/>
      <c r="B108" s="44"/>
      <c r="C108" s="1">
        <f ca="1">IFERROR(__xludf.DUMMYFUNCTION("""COMPUTED_VALUE"""),64)</f>
        <v>64</v>
      </c>
      <c r="D108" s="1">
        <f ca="1">IFERROR(__xludf.DUMMYFUNCTION("""COMPUTED_VALUE"""),64)</f>
        <v>64</v>
      </c>
      <c r="E108" s="1"/>
      <c r="F108" s="1">
        <f ca="1">IFERROR(__xludf.DUMMYFUNCTION("""COMPUTED_VALUE"""),17)</f>
        <v>17</v>
      </c>
      <c r="G108" s="1" t="str">
        <f ca="1">IFERROR(__xludf.DUMMYFUNCTION("""COMPUTED_VALUE"""),"АВСИЕВИЧ Владислав")</f>
        <v>АВСИЕВИЧ Владислав</v>
      </c>
      <c r="H108" s="1" t="str">
        <f ca="1">IFERROR(__xludf.DUMMYFUNCTION("""COMPUTED_VALUE"""),"АВСИЕВИЧ Владислав Евгеньевич")</f>
        <v>АВСИЕВИЧ Владислав Евгеньевич</v>
      </c>
      <c r="I108" s="1" t="str">
        <f ca="1">IFERROR(__xludf.DUMMYFUNCTION("""COMPUTED_VALUE"""),"09.02.10, 2юн")</f>
        <v>09.02.10, 2юн</v>
      </c>
      <c r="J108" s="1" t="str">
        <f ca="1">IFERROR(__xludf.DUMMYFUNCTION("""COMPUTED_VALUE"""),"2юн")</f>
        <v>2юн</v>
      </c>
      <c r="K108" s="1" t="str">
        <f ca="1">IFERROR(__xludf.DUMMYFUNCTION("""COMPUTED_VALUE"""),"СФО")</f>
        <v>СФО</v>
      </c>
      <c r="L108" s="1" t="str">
        <f ca="1">IFERROR(__xludf.DUMMYFUNCTION("""COMPUTED_VALUE"""),"Зональный район, Зональная районная ДЮСШ")</f>
        <v>Зональный район, Зональная районная ДЮСШ</v>
      </c>
      <c r="M108" s="1" t="str">
        <f ca="1">IFERROR(__xludf.DUMMYFUNCTION("""COMPUTED_VALUE"""),"Зональный район")</f>
        <v>Зональный район</v>
      </c>
      <c r="N108" s="1"/>
      <c r="O108" s="1" t="str">
        <f ca="1">IFERROR(__xludf.DUMMYFUNCTION("""COMPUTED_VALUE"""),"Шуликов Е.С, Шуликов А.С")</f>
        <v>Шуликов Е.С, Шуликов А.С</v>
      </c>
    </row>
    <row r="109" spans="1:15">
      <c r="A109" s="44"/>
      <c r="B109" s="44"/>
      <c r="C109" s="1">
        <f ca="1">IFERROR(__xludf.DUMMYFUNCTION("""COMPUTED_VALUE"""),64)</f>
        <v>64</v>
      </c>
      <c r="D109" s="1">
        <f ca="1">IFERROR(__xludf.DUMMYFUNCTION("""COMPUTED_VALUE"""),64)</f>
        <v>64</v>
      </c>
      <c r="E109" s="1"/>
      <c r="F109" s="1">
        <f ca="1">IFERROR(__xludf.DUMMYFUNCTION("""COMPUTED_VALUE"""),18)</f>
        <v>18</v>
      </c>
      <c r="G109" s="1" t="str">
        <f ca="1">IFERROR(__xludf.DUMMYFUNCTION("""COMPUTED_VALUE"""),"ЕРМАКОВ Артём ")</f>
        <v xml:space="preserve">ЕРМАКОВ Артём </v>
      </c>
      <c r="H109" s="1" t="str">
        <f ca="1">IFERROR(__xludf.DUMMYFUNCTION("""COMPUTED_VALUE"""),"ЕРМАКОВ Артём  Евгеньевич ")</f>
        <v xml:space="preserve">ЕРМАКОВ Артём  Евгеньевич </v>
      </c>
      <c r="I109" s="1" t="str">
        <f ca="1">IFERROR(__xludf.DUMMYFUNCTION("""COMPUTED_VALUE"""),"17.03.10, 3юн")</f>
        <v>17.03.10, 3юн</v>
      </c>
      <c r="J109" s="1" t="str">
        <f ca="1">IFERROR(__xludf.DUMMYFUNCTION("""COMPUTED_VALUE"""),"3юн")</f>
        <v>3юн</v>
      </c>
      <c r="K109" s="1" t="str">
        <f ca="1">IFERROR(__xludf.DUMMYFUNCTION("""COMPUTED_VALUE"""),"СФО")</f>
        <v>СФО</v>
      </c>
      <c r="L109" s="1" t="str">
        <f ca="1">IFERROR(__xludf.DUMMYFUNCTION("""COMPUTED_VALUE"""),"Бийск , СШОР №3 им.А.Гуляева")</f>
        <v>Бийск , СШОР №3 им.А.Гуляева</v>
      </c>
      <c r="M109" s="1" t="str">
        <f ca="1">IFERROR(__xludf.DUMMYFUNCTION("""COMPUTED_VALUE"""),"Бийск ")</f>
        <v xml:space="preserve">Бийск </v>
      </c>
      <c r="N109" s="1"/>
      <c r="O109" s="1" t="str">
        <f ca="1">IFERROR(__xludf.DUMMYFUNCTION("""COMPUTED_VALUE"""),"Теренин П.В., Кайгородов О.С.")</f>
        <v>Теренин П.В., Кайгородов О.С.</v>
      </c>
    </row>
    <row r="110" spans="1:15">
      <c r="A110" s="44"/>
      <c r="B110" s="44"/>
      <c r="C110" s="1">
        <f ca="1">IFERROR(__xludf.DUMMYFUNCTION("""COMPUTED_VALUE"""),64)</f>
        <v>64</v>
      </c>
      <c r="D110" s="1">
        <f ca="1">IFERROR(__xludf.DUMMYFUNCTION("""COMPUTED_VALUE"""),64)</f>
        <v>64</v>
      </c>
      <c r="E110" s="1"/>
      <c r="F110" s="1">
        <f ca="1">IFERROR(__xludf.DUMMYFUNCTION("""COMPUTED_VALUE"""),19)</f>
        <v>19</v>
      </c>
      <c r="G110" s="1" t="str">
        <f ca="1">IFERROR(__xludf.DUMMYFUNCTION("""COMPUTED_VALUE"""),"ЛЕТРУТЬЕВ  Авраам ")</f>
        <v xml:space="preserve">ЛЕТРУТЬЕВ  Авраам </v>
      </c>
      <c r="H110" s="1" t="str">
        <f ca="1">IFERROR(__xludf.DUMMYFUNCTION("""COMPUTED_VALUE"""),"ЛЕТРУТЬЕВ  Авраам  Николаевич ")</f>
        <v xml:space="preserve">ЛЕТРУТЬЕВ  Авраам  Николаевич </v>
      </c>
      <c r="I110" s="1" t="str">
        <f ca="1">IFERROR(__xludf.DUMMYFUNCTION("""COMPUTED_VALUE"""),"06.09.09, 3сп")</f>
        <v>06.09.09, 3сп</v>
      </c>
      <c r="J110" s="1" t="str">
        <f ca="1">IFERROR(__xludf.DUMMYFUNCTION("""COMPUTED_VALUE"""),"3сп")</f>
        <v>3сп</v>
      </c>
      <c r="K110" s="1" t="str">
        <f ca="1">IFERROR(__xludf.DUMMYFUNCTION("""COMPUTED_VALUE"""),"СФО")</f>
        <v>СФО</v>
      </c>
      <c r="L110" s="1" t="str">
        <f ca="1">IFERROR(__xludf.DUMMYFUNCTION("""COMPUTED_VALUE"""),"Барнаул , КСШОР ")</f>
        <v xml:space="preserve">Барнаул , КСШОР </v>
      </c>
      <c r="M110" s="1" t="str">
        <f ca="1">IFERROR(__xludf.DUMMYFUNCTION("""COMPUTED_VALUE"""),"Барнаул ")</f>
        <v xml:space="preserve">Барнаул </v>
      </c>
      <c r="N110" s="1"/>
      <c r="O110" s="1" t="str">
        <f ca="1">IFERROR(__xludf.DUMMYFUNCTION("""COMPUTED_VALUE"""),"Хоружев А.И. ")</f>
        <v xml:space="preserve">Хоружев А.И. </v>
      </c>
    </row>
    <row r="111" spans="1:15">
      <c r="A111" s="44"/>
      <c r="B111" s="44"/>
      <c r="C111" s="1">
        <f ca="1">IFERROR(__xludf.DUMMYFUNCTION("""COMPUTED_VALUE"""),64)</f>
        <v>64</v>
      </c>
      <c r="D111" s="1">
        <f ca="1">IFERROR(__xludf.DUMMYFUNCTION("""COMPUTED_VALUE"""),64)</f>
        <v>64</v>
      </c>
      <c r="E111" s="1"/>
      <c r="F111" s="1">
        <f ca="1">IFERROR(__xludf.DUMMYFUNCTION("""COMPUTED_VALUE"""),20)</f>
        <v>20</v>
      </c>
      <c r="G111" s="1" t="str">
        <f ca="1">IFERROR(__xludf.DUMMYFUNCTION("""COMPUTED_VALUE"""),"ДОБРИКОВ Тимофей")</f>
        <v>ДОБРИКОВ Тимофей</v>
      </c>
      <c r="H111" s="1" t="str">
        <f ca="1">IFERROR(__xludf.DUMMYFUNCTION("""COMPUTED_VALUE"""),"ДОБРИКОВ Тимофей Артемович")</f>
        <v>ДОБРИКОВ Тимофей Артемович</v>
      </c>
      <c r="I111" s="1" t="str">
        <f ca="1">IFERROR(__xludf.DUMMYFUNCTION("""COMPUTED_VALUE"""),"19.02.09, 1сп")</f>
        <v>19.02.09, 1сп</v>
      </c>
      <c r="J111" s="1" t="str">
        <f ca="1">IFERROR(__xludf.DUMMYFUNCTION("""COMPUTED_VALUE"""),"1сп")</f>
        <v>1сп</v>
      </c>
      <c r="K111" s="1" t="str">
        <f ca="1">IFERROR(__xludf.DUMMYFUNCTION("""COMPUTED_VALUE"""),"СФО")</f>
        <v>СФО</v>
      </c>
      <c r="L111" s="1" t="str">
        <f ca="1">IFERROR(__xludf.DUMMYFUNCTION("""COMPUTED_VALUE"""),"Бийск, СШОР №3")</f>
        <v>Бийск, СШОР №3</v>
      </c>
      <c r="M111" s="1" t="str">
        <f ca="1">IFERROR(__xludf.DUMMYFUNCTION("""COMPUTED_VALUE"""),"Бийск")</f>
        <v>Бийск</v>
      </c>
      <c r="N111" s="1"/>
      <c r="O111" s="1" t="str">
        <f ca="1">IFERROR(__xludf.DUMMYFUNCTION("""COMPUTED_VALUE"""),"Шалюта П.В., Паринова Т.В.")</f>
        <v>Шалюта П.В., Паринова Т.В.</v>
      </c>
    </row>
    <row r="112" spans="1:15">
      <c r="A112" s="44"/>
      <c r="B112" s="44"/>
      <c r="C112" s="1">
        <f ca="1">IFERROR(__xludf.DUMMYFUNCTION("""COMPUTED_VALUE"""),64)</f>
        <v>64</v>
      </c>
      <c r="D112" s="1">
        <f ca="1">IFERROR(__xludf.DUMMYFUNCTION("""COMPUTED_VALUE"""),64)</f>
        <v>64</v>
      </c>
      <c r="E112" s="1"/>
      <c r="F112" s="1">
        <f ca="1">IFERROR(__xludf.DUMMYFUNCTION("""COMPUTED_VALUE"""),21)</f>
        <v>21</v>
      </c>
      <c r="G112" s="1" t="str">
        <f ca="1">IFERROR(__xludf.DUMMYFUNCTION("""COMPUTED_VALUE"""),"АББАСОВ Туран")</f>
        <v>АББАСОВ Туран</v>
      </c>
      <c r="H112" s="1" t="str">
        <f ca="1">IFERROR(__xludf.DUMMYFUNCTION("""COMPUTED_VALUE"""),"АББАСОВ Туран Арзу Оглы")</f>
        <v>АББАСОВ Туран Арзу Оглы</v>
      </c>
      <c r="I112" s="1" t="str">
        <f ca="1">IFERROR(__xludf.DUMMYFUNCTION("""COMPUTED_VALUE"""),"04.02.10, 1юн")</f>
        <v>04.02.10, 1юн</v>
      </c>
      <c r="J112" s="1" t="str">
        <f ca="1">IFERROR(__xludf.DUMMYFUNCTION("""COMPUTED_VALUE"""),"1юн")</f>
        <v>1юн</v>
      </c>
      <c r="K112" s="1" t="str">
        <f ca="1">IFERROR(__xludf.DUMMYFUNCTION("""COMPUTED_VALUE"""),"СФО")</f>
        <v>СФО</v>
      </c>
      <c r="L112" s="1" t="str">
        <f ca="1">IFERROR(__xludf.DUMMYFUNCTION("""COMPUTED_VALUE"""),"Бийск, СШОР №3")</f>
        <v>Бийск, СШОР №3</v>
      </c>
      <c r="M112" s="1" t="str">
        <f ca="1">IFERROR(__xludf.DUMMYFUNCTION("""COMPUTED_VALUE"""),"Бийск")</f>
        <v>Бийск</v>
      </c>
      <c r="N112" s="1"/>
      <c r="O112" s="1" t="str">
        <f ca="1">IFERROR(__xludf.DUMMYFUNCTION("""COMPUTED_VALUE"""),"Шалюта П.В., Паринова Т.В.")</f>
        <v>Шалюта П.В., Паринова Т.В.</v>
      </c>
    </row>
    <row r="113" spans="1:15">
      <c r="A113" s="44"/>
      <c r="B113" s="44"/>
      <c r="C113" s="1">
        <f ca="1">IFERROR(__xludf.DUMMYFUNCTION("""COMPUTED_VALUE"""),64)</f>
        <v>64</v>
      </c>
      <c r="D113" s="1">
        <f ca="1">IFERROR(__xludf.DUMMYFUNCTION("""COMPUTED_VALUE"""),64)</f>
        <v>64</v>
      </c>
      <c r="E113" s="1"/>
      <c r="F113" s="1">
        <f ca="1">IFERROR(__xludf.DUMMYFUNCTION("""COMPUTED_VALUE"""),22)</f>
        <v>22</v>
      </c>
      <c r="G113" s="1" t="str">
        <f ca="1">IFERROR(__xludf.DUMMYFUNCTION("""COMPUTED_VALUE"""),"КРАСНИКОВ  Артём ")</f>
        <v xml:space="preserve">КРАСНИКОВ  Артём </v>
      </c>
      <c r="H113" s="1" t="str">
        <f ca="1">IFERROR(__xludf.DUMMYFUNCTION("""COMPUTED_VALUE"""),"КРАСНИКОВ  Артём  Максимович ")</f>
        <v xml:space="preserve">КРАСНИКОВ  Артём  Максимович </v>
      </c>
      <c r="I113" s="1" t="str">
        <f ca="1">IFERROR(__xludf.DUMMYFUNCTION("""COMPUTED_VALUE"""),"08.04.09, 2сп")</f>
        <v>08.04.09, 2сп</v>
      </c>
      <c r="J113" s="1" t="str">
        <f ca="1">IFERROR(__xludf.DUMMYFUNCTION("""COMPUTED_VALUE"""),"2сп")</f>
        <v>2сп</v>
      </c>
      <c r="K113" s="1" t="str">
        <f ca="1">IFERROR(__xludf.DUMMYFUNCTION("""COMPUTED_VALUE"""),"СФО")</f>
        <v>СФО</v>
      </c>
      <c r="L113" s="1" t="str">
        <f ca="1">IFERROR(__xludf.DUMMYFUNCTION("""COMPUTED_VALUE"""),"Благовещенка , СШ")</f>
        <v>Благовещенка , СШ</v>
      </c>
      <c r="M113" s="1" t="str">
        <f ca="1">IFERROR(__xludf.DUMMYFUNCTION("""COMPUTED_VALUE"""),"Благовещенка ")</f>
        <v xml:space="preserve">Благовещенка </v>
      </c>
      <c r="N113" s="1"/>
      <c r="O113" s="1" t="str">
        <f ca="1">IFERROR(__xludf.DUMMYFUNCTION("""COMPUTED_VALUE"""),"Дегтярев А.К. ")</f>
        <v xml:space="preserve">Дегтярев А.К. </v>
      </c>
    </row>
    <row r="114" spans="1:15">
      <c r="A114" s="44"/>
      <c r="B114" s="44"/>
      <c r="C114" s="1">
        <f ca="1">IFERROR(__xludf.DUMMYFUNCTION("""COMPUTED_VALUE"""),64)</f>
        <v>64</v>
      </c>
      <c r="D114" s="1">
        <f ca="1">IFERROR(__xludf.DUMMYFUNCTION("""COMPUTED_VALUE"""),64)</f>
        <v>64</v>
      </c>
      <c r="E114" s="1"/>
      <c r="F114" s="1">
        <f ca="1">IFERROR(__xludf.DUMMYFUNCTION("""COMPUTED_VALUE"""),23)</f>
        <v>23</v>
      </c>
      <c r="G114" s="1" t="str">
        <f ca="1">IFERROR(__xludf.DUMMYFUNCTION("""COMPUTED_VALUE"""),"ПЕСЕНКО Матвей")</f>
        <v>ПЕСЕНКО Матвей</v>
      </c>
      <c r="H114" s="1" t="str">
        <f ca="1">IFERROR(__xludf.DUMMYFUNCTION("""COMPUTED_VALUE"""),"ПЕСЕНКО Матвей Васильевич")</f>
        <v>ПЕСЕНКО Матвей Васильевич</v>
      </c>
      <c r="I114" s="1" t="str">
        <f ca="1">IFERROR(__xludf.DUMMYFUNCTION("""COMPUTED_VALUE"""),"15.09.09, 1юн")</f>
        <v>15.09.09, 1юн</v>
      </c>
      <c r="J114" s="1" t="str">
        <f ca="1">IFERROR(__xludf.DUMMYFUNCTION("""COMPUTED_VALUE"""),"1юн")</f>
        <v>1юн</v>
      </c>
      <c r="K114" s="1" t="str">
        <f ca="1">IFERROR(__xludf.DUMMYFUNCTION("""COMPUTED_VALUE"""),"СФО")</f>
        <v>СФО</v>
      </c>
      <c r="L114" s="1" t="str">
        <f ca="1">IFERROR(__xludf.DUMMYFUNCTION("""COMPUTED_VALUE"""),"Барнаул, ДЮСШ Ирбис ")</f>
        <v xml:space="preserve">Барнаул, ДЮСШ Ирбис </v>
      </c>
      <c r="M114" s="1" t="str">
        <f ca="1">IFERROR(__xludf.DUMMYFUNCTION("""COMPUTED_VALUE"""),"Барнаул")</f>
        <v>Барнаул</v>
      </c>
      <c r="N114" s="1"/>
      <c r="O114" s="1" t="str">
        <f ca="1">IFERROR(__xludf.DUMMYFUNCTION("""COMPUTED_VALUE"""),"Торопынин А. Е. ")</f>
        <v xml:space="preserve">Торопынин А. Е. </v>
      </c>
    </row>
    <row r="115" spans="1:15">
      <c r="A115" s="44"/>
      <c r="B115" s="44"/>
      <c r="C115" s="1">
        <f ca="1">IFERROR(__xludf.DUMMYFUNCTION("""COMPUTED_VALUE"""),64)</f>
        <v>64</v>
      </c>
      <c r="D115" s="1">
        <f ca="1">IFERROR(__xludf.DUMMYFUNCTION("""COMPUTED_VALUE"""),64)</f>
        <v>64</v>
      </c>
      <c r="E115" s="1"/>
      <c r="F115" s="1">
        <f ca="1">IFERROR(__xludf.DUMMYFUNCTION("""COMPUTED_VALUE"""),24)</f>
        <v>24</v>
      </c>
      <c r="G115" s="1" t="str">
        <f ca="1">IFERROR(__xludf.DUMMYFUNCTION("""COMPUTED_VALUE"""),"АРХИПОВ Никита")</f>
        <v>АРХИПОВ Никита</v>
      </c>
      <c r="H115" s="1" t="str">
        <f ca="1">IFERROR(__xludf.DUMMYFUNCTION("""COMPUTED_VALUE"""),"АРХИПОВ Никита Сергеевич")</f>
        <v>АРХИПОВ Никита Сергеевич</v>
      </c>
      <c r="I115" s="1" t="str">
        <f ca="1">IFERROR(__xludf.DUMMYFUNCTION("""COMPUTED_VALUE"""),"28.09.09, 3сп")</f>
        <v>28.09.09, 3сп</v>
      </c>
      <c r="J115" s="1" t="str">
        <f ca="1">IFERROR(__xludf.DUMMYFUNCTION("""COMPUTED_VALUE"""),"3сп")</f>
        <v>3сп</v>
      </c>
      <c r="K115" s="1" t="str">
        <f ca="1">IFERROR(__xludf.DUMMYFUNCTION("""COMPUTED_VALUE"""),"СФО")</f>
        <v>СФО</v>
      </c>
      <c r="L115" s="1" t="str">
        <f ca="1">IFERROR(__xludf.DUMMYFUNCTION("""COMPUTED_VALUE"""),"Бийск, СШОР №3")</f>
        <v>Бийск, СШОР №3</v>
      </c>
      <c r="M115" s="1" t="str">
        <f ca="1">IFERROR(__xludf.DUMMYFUNCTION("""COMPUTED_VALUE"""),"Бийск")</f>
        <v>Бийск</v>
      </c>
      <c r="N115" s="1"/>
      <c r="O115" s="1" t="str">
        <f ca="1">IFERROR(__xludf.DUMMYFUNCTION("""COMPUTED_VALUE"""),"Шалюта П.В., Паринова Т.В.")</f>
        <v>Шалюта П.В., Паринова Т.В.</v>
      </c>
    </row>
    <row r="116" spans="1:15">
      <c r="A116" s="44"/>
      <c r="B116" s="44"/>
      <c r="C116" s="1">
        <f ca="1">IFERROR(__xludf.DUMMYFUNCTION("""COMPUTED_VALUE"""),64)</f>
        <v>64</v>
      </c>
      <c r="D116" s="1">
        <f ca="1">IFERROR(__xludf.DUMMYFUNCTION("""COMPUTED_VALUE"""),64)</f>
        <v>64</v>
      </c>
      <c r="E116" s="1"/>
      <c r="F116" s="1">
        <f ca="1">IFERROR(__xludf.DUMMYFUNCTION("""COMPUTED_VALUE"""),25)</f>
        <v>25</v>
      </c>
      <c r="G116" s="1" t="str">
        <f ca="1">IFERROR(__xludf.DUMMYFUNCTION("""COMPUTED_VALUE"""),"ГОРЯЙНОВ Марк")</f>
        <v>ГОРЯЙНОВ Марк</v>
      </c>
      <c r="H116" s="1" t="str">
        <f ca="1">IFERROR(__xludf.DUMMYFUNCTION("""COMPUTED_VALUE"""),"ГОРЯЙНОВ Марк Евгеньевич")</f>
        <v>ГОРЯЙНОВ Марк Евгеньевич</v>
      </c>
      <c r="I116" s="1" t="str">
        <f ca="1">IFERROR(__xludf.DUMMYFUNCTION("""COMPUTED_VALUE"""),"19.04.09, 1юн")</f>
        <v>19.04.09, 1юн</v>
      </c>
      <c r="J116" s="1" t="str">
        <f ca="1">IFERROR(__xludf.DUMMYFUNCTION("""COMPUTED_VALUE"""),"1юн")</f>
        <v>1юн</v>
      </c>
      <c r="K116" s="1" t="str">
        <f ca="1">IFERROR(__xludf.DUMMYFUNCTION("""COMPUTED_VALUE"""),"СФО")</f>
        <v>СФО</v>
      </c>
      <c r="L116" s="1" t="str">
        <f ca="1">IFERROR(__xludf.DUMMYFUNCTION("""COMPUTED_VALUE"""),"Заринск, МАУ ""Спорт""")</f>
        <v>Заринск, МАУ "Спорт"</v>
      </c>
      <c r="M116" s="1" t="str">
        <f ca="1">IFERROR(__xludf.DUMMYFUNCTION("""COMPUTED_VALUE"""),"Заринск")</f>
        <v>Заринск</v>
      </c>
      <c r="N116" s="1"/>
      <c r="O116" s="1" t="str">
        <f ca="1">IFERROR(__xludf.DUMMYFUNCTION("""COMPUTED_VALUE"""),"Блинов А.В.")</f>
        <v>Блинов А.В.</v>
      </c>
    </row>
    <row r="117" spans="1:15">
      <c r="A117" s="44"/>
      <c r="B117" s="44"/>
      <c r="C117" s="1">
        <f ca="1">IFERROR(__xludf.DUMMYFUNCTION("""COMPUTED_VALUE"""),64)</f>
        <v>64</v>
      </c>
      <c r="D117" s="1">
        <f ca="1">IFERROR(__xludf.DUMMYFUNCTION("""COMPUTED_VALUE"""),64)</f>
        <v>64</v>
      </c>
      <c r="E117" s="1"/>
      <c r="F117" s="1">
        <f ca="1">IFERROR(__xludf.DUMMYFUNCTION("""COMPUTED_VALUE"""),26)</f>
        <v>26</v>
      </c>
      <c r="G117" s="1" t="str">
        <f ca="1">IFERROR(__xludf.DUMMYFUNCTION("""COMPUTED_VALUE"""),"ЛАПИКОВ  Никита ")</f>
        <v xml:space="preserve">ЛАПИКОВ  Никита </v>
      </c>
      <c r="H117" s="1" t="str">
        <f ca="1">IFERROR(__xludf.DUMMYFUNCTION("""COMPUTED_VALUE"""),"ЛАПИКОВ  Никита  Викторович ")</f>
        <v xml:space="preserve">ЛАПИКОВ  Никита  Викторович </v>
      </c>
      <c r="I117" s="1" t="str">
        <f ca="1">IFERROR(__xludf.DUMMYFUNCTION("""COMPUTED_VALUE"""),"08.11.10, 1юн")</f>
        <v>08.11.10, 1юн</v>
      </c>
      <c r="J117" s="1" t="str">
        <f ca="1">IFERROR(__xludf.DUMMYFUNCTION("""COMPUTED_VALUE"""),"1юн")</f>
        <v>1юн</v>
      </c>
      <c r="K117" s="1" t="str">
        <f ca="1">IFERROR(__xludf.DUMMYFUNCTION("""COMPUTED_VALUE"""),"СФО")</f>
        <v>СФО</v>
      </c>
      <c r="L117" s="1" t="str">
        <f ca="1">IFERROR(__xludf.DUMMYFUNCTION("""COMPUTED_VALUE"""),"Рп.тальменка , ТСОШ 1")</f>
        <v>Рп.тальменка , ТСОШ 1</v>
      </c>
      <c r="M117" s="1" t="str">
        <f ca="1">IFERROR(__xludf.DUMMYFUNCTION("""COMPUTED_VALUE"""),"Рп.тальменка ")</f>
        <v xml:space="preserve">Рп.тальменка </v>
      </c>
      <c r="N117" s="1"/>
      <c r="O117" s="1" t="str">
        <f ca="1">IFERROR(__xludf.DUMMYFUNCTION("""COMPUTED_VALUE"""),"Аверин В.В")</f>
        <v>Аверин В.В</v>
      </c>
    </row>
    <row r="118" spans="1:15">
      <c r="A118" s="44"/>
      <c r="B118" s="44"/>
      <c r="C118" s="1">
        <f ca="1">IFERROR(__xludf.DUMMYFUNCTION("""COMPUTED_VALUE"""),64)</f>
        <v>64</v>
      </c>
      <c r="D118" s="1">
        <f ca="1">IFERROR(__xludf.DUMMYFUNCTION("""COMPUTED_VALUE"""),64)</f>
        <v>64</v>
      </c>
      <c r="E118" s="1"/>
      <c r="F118" s="1">
        <f ca="1">IFERROR(__xludf.DUMMYFUNCTION("""COMPUTED_VALUE"""),27)</f>
        <v>27</v>
      </c>
      <c r="G118" s="1" t="str">
        <f ca="1">IFERROR(__xludf.DUMMYFUNCTION("""COMPUTED_VALUE"""),"ЗАХОРЕНКОВ Глеб")</f>
        <v>ЗАХОРЕНКОВ Глеб</v>
      </c>
      <c r="H118" s="1" t="str">
        <f ca="1">IFERROR(__xludf.DUMMYFUNCTION("""COMPUTED_VALUE"""),"ЗАХОРЕНКОВ Глеб .")</f>
        <v>ЗАХОРЕНКОВ Глеб .</v>
      </c>
      <c r="I118" s="1" t="str">
        <f ca="1">IFERROR(__xludf.DUMMYFUNCTION("""COMPUTED_VALUE"""),"08.06.10, 3юн")</f>
        <v>08.06.10, 3юн</v>
      </c>
      <c r="J118" s="1" t="str">
        <f ca="1">IFERROR(__xludf.DUMMYFUNCTION("""COMPUTED_VALUE"""),"3юн")</f>
        <v>3юн</v>
      </c>
      <c r="K118" s="1" t="str">
        <f ca="1">IFERROR(__xludf.DUMMYFUNCTION("""COMPUTED_VALUE"""),"СФО")</f>
        <v>СФО</v>
      </c>
      <c r="L118" s="1" t="str">
        <f ca="1">IFERROR(__xludf.DUMMYFUNCTION("""COMPUTED_VALUE"""),"Бийск , СШОР №3 им.А.Гуляева")</f>
        <v>Бийск , СШОР №3 им.А.Гуляева</v>
      </c>
      <c r="M118" s="1" t="str">
        <f ca="1">IFERROR(__xludf.DUMMYFUNCTION("""COMPUTED_VALUE"""),"Бийск ")</f>
        <v xml:space="preserve">Бийск </v>
      </c>
      <c r="N118" s="1"/>
      <c r="O118" s="1" t="str">
        <f ca="1">IFERROR(__xludf.DUMMYFUNCTION("""COMPUTED_VALUE"""),"Теренин П.В., Кайгородов О.С.")</f>
        <v>Теренин П.В., Кайгородов О.С.</v>
      </c>
    </row>
    <row r="119" spans="1:15">
      <c r="A119" s="44"/>
      <c r="B119" s="44"/>
      <c r="C119" s="1">
        <f ca="1">IFERROR(__xludf.DUMMYFUNCTION("""COMPUTED_VALUE"""),64)</f>
        <v>64</v>
      </c>
      <c r="D119" s="1">
        <f ca="1">IFERROR(__xludf.DUMMYFUNCTION("""COMPUTED_VALUE"""),64)</f>
        <v>64</v>
      </c>
      <c r="E119" s="1"/>
      <c r="F119" s="1">
        <f ca="1">IFERROR(__xludf.DUMMYFUNCTION("""COMPUTED_VALUE"""),28)</f>
        <v>28</v>
      </c>
      <c r="G119" s="1" t="str">
        <f ca="1">IFERROR(__xludf.DUMMYFUNCTION("""COMPUTED_VALUE"""),"МИЛЯЕВ  Андрей")</f>
        <v>МИЛЯЕВ  Андрей</v>
      </c>
      <c r="H119" s="1" t="str">
        <f ca="1">IFERROR(__xludf.DUMMYFUNCTION("""COMPUTED_VALUE"""),"МИЛЯЕВ  Андрей Николаевич ")</f>
        <v xml:space="preserve">МИЛЯЕВ  Андрей Николаевич </v>
      </c>
      <c r="I119" s="1" t="str">
        <f ca="1">IFERROR(__xludf.DUMMYFUNCTION("""COMPUTED_VALUE"""),"04.05.11, 2юн")</f>
        <v>04.05.11, 2юн</v>
      </c>
      <c r="J119" s="1" t="str">
        <f ca="1">IFERROR(__xludf.DUMMYFUNCTION("""COMPUTED_VALUE"""),"2юн")</f>
        <v>2юн</v>
      </c>
      <c r="K119" s="1" t="str">
        <f ca="1">IFERROR(__xludf.DUMMYFUNCTION("""COMPUTED_VALUE"""),"СФО")</f>
        <v>СФО</v>
      </c>
      <c r="L119" s="1" t="str">
        <f ca="1">IFERROR(__xludf.DUMMYFUNCTION("""COMPUTED_VALUE"""),"Санниково, Дюсш Первомайского района")</f>
        <v>Санниково, Дюсш Первомайского района</v>
      </c>
      <c r="M119" s="1" t="str">
        <f ca="1">IFERROR(__xludf.DUMMYFUNCTION("""COMPUTED_VALUE"""),"Санниково")</f>
        <v>Санниково</v>
      </c>
      <c r="N119" s="1"/>
      <c r="O119" s="1" t="str">
        <f ca="1">IFERROR(__xludf.DUMMYFUNCTION("""COMPUTED_VALUE"""),"Таскин А.Ю.")</f>
        <v>Таскин А.Ю.</v>
      </c>
    </row>
    <row r="120" spans="1:15">
      <c r="A120" s="44"/>
      <c r="B120" s="44"/>
      <c r="C120" s="1">
        <f ca="1">IFERROR(__xludf.DUMMYFUNCTION("""COMPUTED_VALUE"""),64)</f>
        <v>64</v>
      </c>
      <c r="D120" s="1">
        <f ca="1">IFERROR(__xludf.DUMMYFUNCTION("""COMPUTED_VALUE"""),64)</f>
        <v>64</v>
      </c>
      <c r="E120" s="1"/>
      <c r="F120" s="1">
        <f ca="1">IFERROR(__xludf.DUMMYFUNCTION("""COMPUTED_VALUE"""),29)</f>
        <v>29</v>
      </c>
      <c r="G120" s="1" t="str">
        <f ca="1">IFERROR(__xludf.DUMMYFUNCTION("""COMPUTED_VALUE"""),"ПУГАЧЕВ Максим")</f>
        <v>ПУГАЧЕВ Максим</v>
      </c>
      <c r="H120" s="1" t="str">
        <f ca="1">IFERROR(__xludf.DUMMYFUNCTION("""COMPUTED_VALUE"""),"ПУГАЧЕВ Максим Вячеславович")</f>
        <v>ПУГАЧЕВ Максим Вячеславович</v>
      </c>
      <c r="I120" s="1" t="str">
        <f ca="1">IFERROR(__xludf.DUMMYFUNCTION("""COMPUTED_VALUE"""),"27.07.09, 2сп")</f>
        <v>27.07.09, 2сп</v>
      </c>
      <c r="J120" s="1" t="str">
        <f ca="1">IFERROR(__xludf.DUMMYFUNCTION("""COMPUTED_VALUE"""),"2сп")</f>
        <v>2сп</v>
      </c>
      <c r="K120" s="1" t="str">
        <f ca="1">IFERROR(__xludf.DUMMYFUNCTION("""COMPUTED_VALUE"""),"СФО")</f>
        <v>СФО</v>
      </c>
      <c r="L120" s="1" t="str">
        <f ca="1">IFERROR(__xludf.DUMMYFUNCTION("""COMPUTED_VALUE"""),"Бийск, СШОР №3")</f>
        <v>Бийск, СШОР №3</v>
      </c>
      <c r="M120" s="1" t="str">
        <f ca="1">IFERROR(__xludf.DUMMYFUNCTION("""COMPUTED_VALUE"""),"Бийск")</f>
        <v>Бийск</v>
      </c>
      <c r="N120" s="1"/>
      <c r="O120" s="1" t="str">
        <f ca="1">IFERROR(__xludf.DUMMYFUNCTION("""COMPUTED_VALUE"""),"Шалюта П.В., Паринова Т.В.")</f>
        <v>Шалюта П.В., Паринова Т.В.</v>
      </c>
    </row>
    <row r="121" spans="1:15">
      <c r="A121" s="44"/>
      <c r="B121" s="44"/>
      <c r="C121" s="1">
        <f ca="1">IFERROR(__xludf.DUMMYFUNCTION("""COMPUTED_VALUE"""),64)</f>
        <v>64</v>
      </c>
      <c r="D121" s="1">
        <f ca="1">IFERROR(__xludf.DUMMYFUNCTION("""COMPUTED_VALUE"""),64)</f>
        <v>64</v>
      </c>
      <c r="E121" s="1"/>
      <c r="F121" s="1">
        <f ca="1">IFERROR(__xludf.DUMMYFUNCTION("""COMPUTED_VALUE"""),30)</f>
        <v>30</v>
      </c>
      <c r="G121" s="1" t="str">
        <f ca="1">IFERROR(__xludf.DUMMYFUNCTION("""COMPUTED_VALUE"""),"ПАСЬКО  Лев ")</f>
        <v xml:space="preserve">ПАСЬКО  Лев </v>
      </c>
      <c r="H121" s="1" t="str">
        <f ca="1">IFERROR(__xludf.DUMMYFUNCTION("""COMPUTED_VALUE"""),"ПАСЬКО  Лев  Владимирович ")</f>
        <v xml:space="preserve">ПАСЬКО  Лев  Владимирович </v>
      </c>
      <c r="I121" s="1" t="str">
        <f ca="1">IFERROR(__xludf.DUMMYFUNCTION("""COMPUTED_VALUE"""),"23.01.09, 2юн")</f>
        <v>23.01.09, 2юн</v>
      </c>
      <c r="J121" s="1" t="str">
        <f ca="1">IFERROR(__xludf.DUMMYFUNCTION("""COMPUTED_VALUE"""),"2юн")</f>
        <v>2юн</v>
      </c>
      <c r="K121" s="1" t="str">
        <f ca="1">IFERROR(__xludf.DUMMYFUNCTION("""COMPUTED_VALUE"""),"СФО")</f>
        <v>СФО</v>
      </c>
      <c r="L121" s="1" t="str">
        <f ca="1">IFERROR(__xludf.DUMMYFUNCTION("""COMPUTED_VALUE"""),"Благовещенка , Благовещенская СШ")</f>
        <v>Благовещенка , Благовещенская СШ</v>
      </c>
      <c r="M121" s="1" t="str">
        <f ca="1">IFERROR(__xludf.DUMMYFUNCTION("""COMPUTED_VALUE"""),"Благовещенка ")</f>
        <v xml:space="preserve">Благовещенка </v>
      </c>
      <c r="N121" s="1"/>
      <c r="O121" s="1" t="str">
        <f ca="1">IFERROR(__xludf.DUMMYFUNCTION("""COMPUTED_VALUE"""),"Екименко А.В., Данильченко Е.Л. ")</f>
        <v xml:space="preserve">Екименко А.В., Данильченко Е.Л. </v>
      </c>
    </row>
    <row r="122" spans="1:15">
      <c r="A122" s="44"/>
      <c r="B122" s="44"/>
      <c r="C122" s="1">
        <f ca="1">IFERROR(__xludf.DUMMYFUNCTION("""COMPUTED_VALUE"""),64)</f>
        <v>64</v>
      </c>
      <c r="D122" s="1">
        <f ca="1">IFERROR(__xludf.DUMMYFUNCTION("""COMPUTED_VALUE"""),64)</f>
        <v>64</v>
      </c>
      <c r="E122" s="1"/>
      <c r="F122" s="1">
        <f ca="1">IFERROR(__xludf.DUMMYFUNCTION("""COMPUTED_VALUE"""),31)</f>
        <v>31</v>
      </c>
      <c r="G122" s="1" t="str">
        <f ca="1">IFERROR(__xludf.DUMMYFUNCTION("""COMPUTED_VALUE"""),"ЛУКЬЯНОВ  Вадим")</f>
        <v>ЛУКЬЯНОВ  Вадим</v>
      </c>
      <c r="H122" s="1" t="str">
        <f ca="1">IFERROR(__xludf.DUMMYFUNCTION("""COMPUTED_VALUE"""),"ЛУКЬЯНОВ  Вадим Владимирович")</f>
        <v>ЛУКЬЯНОВ  Вадим Владимирович</v>
      </c>
      <c r="I122" s="1" t="str">
        <f ca="1">IFERROR(__xludf.DUMMYFUNCTION("""COMPUTED_VALUE"""),"03.06.10, 2сп")</f>
        <v>03.06.10, 2сп</v>
      </c>
      <c r="J122" s="1" t="str">
        <f ca="1">IFERROR(__xludf.DUMMYFUNCTION("""COMPUTED_VALUE"""),"2сп")</f>
        <v>2сп</v>
      </c>
      <c r="K122" s="1" t="str">
        <f ca="1">IFERROR(__xludf.DUMMYFUNCTION("""COMPUTED_VALUE"""),"СФО")</f>
        <v>СФО</v>
      </c>
      <c r="L122" s="1" t="str">
        <f ca="1">IFERROR(__xludf.DUMMYFUNCTION("""COMPUTED_VALUE"""),"Мамонтово, Мамонтовская СШ")</f>
        <v>Мамонтово, Мамонтовская СШ</v>
      </c>
      <c r="M122" s="1" t="str">
        <f ca="1">IFERROR(__xludf.DUMMYFUNCTION("""COMPUTED_VALUE"""),"Мамонтово")</f>
        <v>Мамонтово</v>
      </c>
      <c r="N122" s="1"/>
      <c r="O122" s="1" t="str">
        <f ca="1">IFERROR(__xludf.DUMMYFUNCTION("""COMPUTED_VALUE"""),"Гроо В.В.")</f>
        <v>Гроо В.В.</v>
      </c>
    </row>
    <row r="123" spans="1:15">
      <c r="A123" s="44"/>
      <c r="B123" s="44"/>
      <c r="C123" s="1">
        <f ca="1">IFERROR(__xludf.DUMMYFUNCTION("""COMPUTED_VALUE"""),71)</f>
        <v>71</v>
      </c>
      <c r="D123" s="1">
        <f ca="1">IFERROR(__xludf.DUMMYFUNCTION("""COMPUTED_VALUE"""),71)</f>
        <v>71</v>
      </c>
      <c r="E123" s="1"/>
      <c r="F123" s="1">
        <f ca="1">IFERROR(__xludf.DUMMYFUNCTION("""COMPUTED_VALUE"""),1)</f>
        <v>1</v>
      </c>
      <c r="G123" s="1" t="str">
        <f ca="1">IFERROR(__xludf.DUMMYFUNCTION("""COMPUTED_VALUE"""),"КОНАРЕВ Иван")</f>
        <v>КОНАРЕВ Иван</v>
      </c>
      <c r="H123" s="1" t="str">
        <f ca="1">IFERROR(__xludf.DUMMYFUNCTION("""COMPUTED_VALUE"""),"КОНАРЕВ Иван Дмитриевич")</f>
        <v>КОНАРЕВ Иван Дмитриевич</v>
      </c>
      <c r="I123" s="1" t="str">
        <f ca="1">IFERROR(__xludf.DUMMYFUNCTION("""COMPUTED_VALUE"""),"18.08.09, 3юн")</f>
        <v>18.08.09, 3юн</v>
      </c>
      <c r="J123" s="1" t="str">
        <f ca="1">IFERROR(__xludf.DUMMYFUNCTION("""COMPUTED_VALUE"""),"3юн")</f>
        <v>3юн</v>
      </c>
      <c r="K123" s="1" t="str">
        <f ca="1">IFERROR(__xludf.DUMMYFUNCTION("""COMPUTED_VALUE"""),"СФО")</f>
        <v>СФО</v>
      </c>
      <c r="L123" s="1" t="str">
        <f ca="1">IFERROR(__xludf.DUMMYFUNCTION("""COMPUTED_VALUE"""),"Барнаул , КСШОР")</f>
        <v>Барнаул , КСШОР</v>
      </c>
      <c r="M123" s="1" t="str">
        <f ca="1">IFERROR(__xludf.DUMMYFUNCTION("""COMPUTED_VALUE"""),"Барнаул ")</f>
        <v xml:space="preserve">Барнаул </v>
      </c>
      <c r="N123" s="1"/>
      <c r="O123" s="1" t="str">
        <f ca="1">IFERROR(__xludf.DUMMYFUNCTION("""COMPUTED_VALUE"""),"Ситникова А. С.")</f>
        <v>Ситникова А. С.</v>
      </c>
    </row>
    <row r="124" spans="1:15">
      <c r="A124" s="44"/>
      <c r="B124" s="44"/>
      <c r="C124" s="1">
        <f ca="1">IFERROR(__xludf.DUMMYFUNCTION("""COMPUTED_VALUE"""),71)</f>
        <v>71</v>
      </c>
      <c r="D124" s="1">
        <f ca="1">IFERROR(__xludf.DUMMYFUNCTION("""COMPUTED_VALUE"""),71)</f>
        <v>71</v>
      </c>
      <c r="E124" s="1"/>
      <c r="F124" s="1">
        <f ca="1">IFERROR(__xludf.DUMMYFUNCTION("""COMPUTED_VALUE"""),2)</f>
        <v>2</v>
      </c>
      <c r="G124" s="1" t="str">
        <f ca="1">IFERROR(__xludf.DUMMYFUNCTION("""COMPUTED_VALUE"""),"МИЦИХ Станислав")</f>
        <v>МИЦИХ Станислав</v>
      </c>
      <c r="H124" s="1" t="str">
        <f ca="1">IFERROR(__xludf.DUMMYFUNCTION("""COMPUTED_VALUE"""),"МИЦИХ Станислав Алексеевич")</f>
        <v>МИЦИХ Станислав Алексеевич</v>
      </c>
      <c r="I124" s="1" t="str">
        <f ca="1">IFERROR(__xludf.DUMMYFUNCTION("""COMPUTED_VALUE"""),"17.03.09, 2сп")</f>
        <v>17.03.09, 2сп</v>
      </c>
      <c r="J124" s="1" t="str">
        <f ca="1">IFERROR(__xludf.DUMMYFUNCTION("""COMPUTED_VALUE"""),"2сп")</f>
        <v>2сп</v>
      </c>
      <c r="K124" s="1" t="str">
        <f ca="1">IFERROR(__xludf.DUMMYFUNCTION("""COMPUTED_VALUE"""),"СФО")</f>
        <v>СФО</v>
      </c>
      <c r="L124" s="1" t="str">
        <f ca="1">IFERROR(__xludf.DUMMYFUNCTION("""COMPUTED_VALUE"""),"Зональный Район, Зональная ДЮСШ")</f>
        <v>Зональный Район, Зональная ДЮСШ</v>
      </c>
      <c r="M124" s="1" t="str">
        <f ca="1">IFERROR(__xludf.DUMMYFUNCTION("""COMPUTED_VALUE"""),"Зональный Район")</f>
        <v>Зональный Район</v>
      </c>
      <c r="N124" s="1"/>
      <c r="O124" s="1" t="str">
        <f ca="1">IFERROR(__xludf.DUMMYFUNCTION("""COMPUTED_VALUE"""),"Шуликов Е.С., Шалюта П.В.")</f>
        <v>Шуликов Е.С., Шалюта П.В.</v>
      </c>
    </row>
    <row r="125" spans="1:15">
      <c r="A125" s="44"/>
      <c r="B125" s="44"/>
      <c r="C125" s="1">
        <f ca="1">IFERROR(__xludf.DUMMYFUNCTION("""COMPUTED_VALUE"""),71)</f>
        <v>71</v>
      </c>
      <c r="D125" s="1">
        <f ca="1">IFERROR(__xludf.DUMMYFUNCTION("""COMPUTED_VALUE"""),71)</f>
        <v>71</v>
      </c>
      <c r="E125" s="1"/>
      <c r="F125" s="1">
        <f ca="1">IFERROR(__xludf.DUMMYFUNCTION("""COMPUTED_VALUE"""),3)</f>
        <v>3</v>
      </c>
      <c r="G125" s="1" t="str">
        <f ca="1">IFERROR(__xludf.DUMMYFUNCTION("""COMPUTED_VALUE"""),"БОБУХ Дамир")</f>
        <v>БОБУХ Дамир</v>
      </c>
      <c r="H125" s="1" t="str">
        <f ca="1">IFERROR(__xludf.DUMMYFUNCTION("""COMPUTED_VALUE"""),"БОБУХ Дамир Евгеньевич")</f>
        <v>БОБУХ Дамир Евгеньевич</v>
      </c>
      <c r="I125" s="1" t="str">
        <f ca="1">IFERROR(__xludf.DUMMYFUNCTION("""COMPUTED_VALUE"""),"30.05.10, 1юн")</f>
        <v>30.05.10, 1юн</v>
      </c>
      <c r="J125" s="1" t="str">
        <f ca="1">IFERROR(__xludf.DUMMYFUNCTION("""COMPUTED_VALUE"""),"1юн")</f>
        <v>1юн</v>
      </c>
      <c r="K125" s="1" t="str">
        <f ca="1">IFERROR(__xludf.DUMMYFUNCTION("""COMPUTED_VALUE"""),"СФО")</f>
        <v>СФО</v>
      </c>
      <c r="L125" s="1" t="str">
        <f ca="1">IFERROR(__xludf.DUMMYFUNCTION("""COMPUTED_VALUE"""),"Алтайское , МАУ ДО""АЛТАЙСКАЯ СШОР""")</f>
        <v>Алтайское , МАУ ДО"АЛТАЙСКАЯ СШОР"</v>
      </c>
      <c r="M125" s="1" t="str">
        <f ca="1">IFERROR(__xludf.DUMMYFUNCTION("""COMPUTED_VALUE"""),"Алтайское ")</f>
        <v xml:space="preserve">Алтайское </v>
      </c>
      <c r="N125" s="1"/>
      <c r="O125" s="1" t="str">
        <f ca="1">IFERROR(__xludf.DUMMYFUNCTION("""COMPUTED_VALUE"""),"Кандауров А. Н. ")</f>
        <v xml:space="preserve">Кандауров А. Н. </v>
      </c>
    </row>
    <row r="126" spans="1:15">
      <c r="A126" s="44"/>
      <c r="B126" s="44"/>
      <c r="C126" s="1">
        <f ca="1">IFERROR(__xludf.DUMMYFUNCTION("""COMPUTED_VALUE"""),71)</f>
        <v>71</v>
      </c>
      <c r="D126" s="1">
        <f ca="1">IFERROR(__xludf.DUMMYFUNCTION("""COMPUTED_VALUE"""),71)</f>
        <v>71</v>
      </c>
      <c r="E126" s="1"/>
      <c r="F126" s="1">
        <f ca="1">IFERROR(__xludf.DUMMYFUNCTION("""COMPUTED_VALUE"""),4)</f>
        <v>4</v>
      </c>
      <c r="G126" s="1" t="str">
        <f ca="1">IFERROR(__xludf.DUMMYFUNCTION("""COMPUTED_VALUE"""),"ИШИМОВ Игорь")</f>
        <v>ИШИМОВ Игорь</v>
      </c>
      <c r="H126" s="1" t="str">
        <f ca="1">IFERROR(__xludf.DUMMYFUNCTION("""COMPUTED_VALUE"""),"ИШИМОВ Игорь Петрович")</f>
        <v>ИШИМОВ Игорь Петрович</v>
      </c>
      <c r="I126" s="1" t="str">
        <f ca="1">IFERROR(__xludf.DUMMYFUNCTION("""COMPUTED_VALUE"""),"02.08.09, 2юн")</f>
        <v>02.08.09, 2юн</v>
      </c>
      <c r="J126" s="1" t="str">
        <f ca="1">IFERROR(__xludf.DUMMYFUNCTION("""COMPUTED_VALUE"""),"2юн")</f>
        <v>2юн</v>
      </c>
      <c r="K126" s="1" t="str">
        <f ca="1">IFERROR(__xludf.DUMMYFUNCTION("""COMPUTED_VALUE"""),"СФО")</f>
        <v>СФО</v>
      </c>
      <c r="L126" s="1" t="str">
        <f ca="1">IFERROR(__xludf.DUMMYFUNCTION("""COMPUTED_VALUE"""),"р.п Благовещенка, Благовещенская СШ ")</f>
        <v xml:space="preserve">р.п Благовещенка, Благовещенская СШ </v>
      </c>
      <c r="M126" s="1" t="str">
        <f ca="1">IFERROR(__xludf.DUMMYFUNCTION("""COMPUTED_VALUE"""),"р.п Благовещенка")</f>
        <v>р.п Благовещенка</v>
      </c>
      <c r="N126" s="1"/>
      <c r="O126" s="1" t="str">
        <f ca="1">IFERROR(__xludf.DUMMYFUNCTION("""COMPUTED_VALUE"""),"Екименко А. В.  Данильченко. Е. Л.")</f>
        <v>Екименко А. В.  Данильченко. Е. Л.</v>
      </c>
    </row>
    <row r="127" spans="1:15">
      <c r="A127" s="44"/>
      <c r="B127" s="44"/>
      <c r="C127" s="1">
        <f ca="1">IFERROR(__xludf.DUMMYFUNCTION("""COMPUTED_VALUE"""),71)</f>
        <v>71</v>
      </c>
      <c r="D127" s="1">
        <f ca="1">IFERROR(__xludf.DUMMYFUNCTION("""COMPUTED_VALUE"""),71)</f>
        <v>71</v>
      </c>
      <c r="E127" s="1"/>
      <c r="F127" s="1">
        <f ca="1">IFERROR(__xludf.DUMMYFUNCTION("""COMPUTED_VALUE"""),5)</f>
        <v>5</v>
      </c>
      <c r="G127" s="1" t="str">
        <f ca="1">IFERROR(__xludf.DUMMYFUNCTION("""COMPUTED_VALUE"""),"ГАЙДЕШКО Даниил")</f>
        <v>ГАЙДЕШКО Даниил</v>
      </c>
      <c r="H127" s="1" t="str">
        <f ca="1">IFERROR(__xludf.DUMMYFUNCTION("""COMPUTED_VALUE"""),"ГАЙДЕШКО Даниил Дмитриевич ")</f>
        <v xml:space="preserve">ГАЙДЕШКО Даниил Дмитриевич </v>
      </c>
      <c r="I127" s="1" t="str">
        <f ca="1">IFERROR(__xludf.DUMMYFUNCTION("""COMPUTED_VALUE"""),"01.03.09, 2юн")</f>
        <v>01.03.09, 2юн</v>
      </c>
      <c r="J127" s="1" t="str">
        <f ca="1">IFERROR(__xludf.DUMMYFUNCTION("""COMPUTED_VALUE"""),"2юн")</f>
        <v>2юн</v>
      </c>
      <c r="K127" s="1" t="str">
        <f ca="1">IFERROR(__xludf.DUMMYFUNCTION("""COMPUTED_VALUE"""),"СФО")</f>
        <v>СФО</v>
      </c>
      <c r="L127" s="1" t="str">
        <f ca="1">IFERROR(__xludf.DUMMYFUNCTION("""COMPUTED_VALUE"""),"Табуны, МБУ ДО ТСШ ")</f>
        <v xml:space="preserve">Табуны, МБУ ДО ТСШ </v>
      </c>
      <c r="M127" s="1" t="str">
        <f ca="1">IFERROR(__xludf.DUMMYFUNCTION("""COMPUTED_VALUE"""),"Табуны")</f>
        <v>Табуны</v>
      </c>
      <c r="N127" s="1"/>
      <c r="O127" s="1" t="str">
        <f ca="1">IFERROR(__xludf.DUMMYFUNCTION("""COMPUTED_VALUE"""),"Буханцев А.Д.")</f>
        <v>Буханцев А.Д.</v>
      </c>
    </row>
    <row r="128" spans="1:15">
      <c r="A128" s="44"/>
      <c r="B128" s="44"/>
      <c r="C128" s="1">
        <f ca="1">IFERROR(__xludf.DUMMYFUNCTION("""COMPUTED_VALUE"""),71)</f>
        <v>71</v>
      </c>
      <c r="D128" s="1">
        <f ca="1">IFERROR(__xludf.DUMMYFUNCTION("""COMPUTED_VALUE"""),71)</f>
        <v>71</v>
      </c>
      <c r="E128" s="1"/>
      <c r="F128" s="1">
        <f ca="1">IFERROR(__xludf.DUMMYFUNCTION("""COMPUTED_VALUE"""),6)</f>
        <v>6</v>
      </c>
      <c r="G128" s="1" t="str">
        <f ca="1">IFERROR(__xludf.DUMMYFUNCTION("""COMPUTED_VALUE"""),"ЛУКАШ Семён")</f>
        <v>ЛУКАШ Семён</v>
      </c>
      <c r="H128" s="1" t="str">
        <f ca="1">IFERROR(__xludf.DUMMYFUNCTION("""COMPUTED_VALUE"""),"ЛУКАШ Семён Дмитриевич")</f>
        <v>ЛУКАШ Семён Дмитриевич</v>
      </c>
      <c r="I128" s="1" t="str">
        <f ca="1">IFERROR(__xludf.DUMMYFUNCTION("""COMPUTED_VALUE"""),"31.03.09, 1юн")</f>
        <v>31.03.09, 1юн</v>
      </c>
      <c r="J128" s="1" t="str">
        <f ca="1">IFERROR(__xludf.DUMMYFUNCTION("""COMPUTED_VALUE"""),"1юн")</f>
        <v>1юн</v>
      </c>
      <c r="K128" s="1" t="str">
        <f ca="1">IFERROR(__xludf.DUMMYFUNCTION("""COMPUTED_VALUE"""),"СФО")</f>
        <v>СФО</v>
      </c>
      <c r="L128" s="1" t="str">
        <f ca="1">IFERROR(__xludf.DUMMYFUNCTION("""COMPUTED_VALUE"""),"Барнаул, Ирбис")</f>
        <v>Барнаул, Ирбис</v>
      </c>
      <c r="M128" s="1" t="str">
        <f ca="1">IFERROR(__xludf.DUMMYFUNCTION("""COMPUTED_VALUE"""),"Барнаул")</f>
        <v>Барнаул</v>
      </c>
      <c r="N128" s="1"/>
      <c r="O128" s="1" t="str">
        <f ca="1">IFERROR(__xludf.DUMMYFUNCTION("""COMPUTED_VALUE"""),"Торопынин А.Е")</f>
        <v>Торопынин А.Е</v>
      </c>
    </row>
    <row r="129" spans="1:15">
      <c r="A129" s="44"/>
      <c r="B129" s="44"/>
      <c r="C129" s="1">
        <f ca="1">IFERROR(__xludf.DUMMYFUNCTION("""COMPUTED_VALUE"""),71)</f>
        <v>71</v>
      </c>
      <c r="D129" s="1">
        <f ca="1">IFERROR(__xludf.DUMMYFUNCTION("""COMPUTED_VALUE"""),71)</f>
        <v>71</v>
      </c>
      <c r="E129" s="1"/>
      <c r="F129" s="1">
        <f ca="1">IFERROR(__xludf.DUMMYFUNCTION("""COMPUTED_VALUE"""),7)</f>
        <v>7</v>
      </c>
      <c r="G129" s="1" t="str">
        <f ca="1">IFERROR(__xludf.DUMMYFUNCTION("""COMPUTED_VALUE"""),"НОВОСЕЛОВ Михаил")</f>
        <v>НОВОСЕЛОВ Михаил</v>
      </c>
      <c r="H129" s="1" t="str">
        <f ca="1">IFERROR(__xludf.DUMMYFUNCTION("""COMPUTED_VALUE"""),"НОВОСЕЛОВ Михаил Романович")</f>
        <v>НОВОСЕЛОВ Михаил Романович</v>
      </c>
      <c r="I129" s="1" t="str">
        <f ca="1">IFERROR(__xludf.DUMMYFUNCTION("""COMPUTED_VALUE"""),"26.08.09, 1юн")</f>
        <v>26.08.09, 1юн</v>
      </c>
      <c r="J129" s="1" t="str">
        <f ca="1">IFERROR(__xludf.DUMMYFUNCTION("""COMPUTED_VALUE"""),"1юн")</f>
        <v>1юн</v>
      </c>
      <c r="K129" s="1" t="str">
        <f ca="1">IFERROR(__xludf.DUMMYFUNCTION("""COMPUTED_VALUE"""),"СФО")</f>
        <v>СФО</v>
      </c>
      <c r="L129" s="1" t="str">
        <f ca="1">IFERROR(__xludf.DUMMYFUNCTION("""COMPUTED_VALUE"""),"Зональный Район, Зональная ДЮСШ")</f>
        <v>Зональный Район, Зональная ДЮСШ</v>
      </c>
      <c r="M129" s="1" t="str">
        <f ca="1">IFERROR(__xludf.DUMMYFUNCTION("""COMPUTED_VALUE"""),"Зональный Район")</f>
        <v>Зональный Район</v>
      </c>
      <c r="N129" s="1"/>
      <c r="O129" s="1" t="str">
        <f ca="1">IFERROR(__xludf.DUMMYFUNCTION("""COMPUTED_VALUE"""),"Шуликов Е.С. Шуликов А.С.")</f>
        <v>Шуликов Е.С. Шуликов А.С.</v>
      </c>
    </row>
    <row r="130" spans="1:15">
      <c r="A130" s="44"/>
      <c r="B130" s="44"/>
      <c r="C130" s="1">
        <f ca="1">IFERROR(__xludf.DUMMYFUNCTION("""COMPUTED_VALUE"""),71)</f>
        <v>71</v>
      </c>
      <c r="D130" s="1">
        <f ca="1">IFERROR(__xludf.DUMMYFUNCTION("""COMPUTED_VALUE"""),71)</f>
        <v>71</v>
      </c>
      <c r="E130" s="1"/>
      <c r="F130" s="1">
        <f ca="1">IFERROR(__xludf.DUMMYFUNCTION("""COMPUTED_VALUE"""),8)</f>
        <v>8</v>
      </c>
      <c r="G130" s="1" t="str">
        <f ca="1">IFERROR(__xludf.DUMMYFUNCTION("""COMPUTED_VALUE"""),"ГУДЗАНОВ Михаил")</f>
        <v>ГУДЗАНОВ Михаил</v>
      </c>
      <c r="H130" s="1" t="str">
        <f ca="1">IFERROR(__xludf.DUMMYFUNCTION("""COMPUTED_VALUE"""),"ГУДЗАНОВ Михаил Алексеевич")</f>
        <v>ГУДЗАНОВ Михаил Алексеевич</v>
      </c>
      <c r="I130" s="1" t="str">
        <f ca="1">IFERROR(__xludf.DUMMYFUNCTION("""COMPUTED_VALUE"""),"12.08.09, 1юн")</f>
        <v>12.08.09, 1юн</v>
      </c>
      <c r="J130" s="1" t="str">
        <f ca="1">IFERROR(__xludf.DUMMYFUNCTION("""COMPUTED_VALUE"""),"1юн")</f>
        <v>1юн</v>
      </c>
      <c r="K130" s="1" t="str">
        <f ca="1">IFERROR(__xludf.DUMMYFUNCTION("""COMPUTED_VALUE"""),"СФО")</f>
        <v>СФО</v>
      </c>
      <c r="L130" s="1" t="str">
        <f ca="1">IFERROR(__xludf.DUMMYFUNCTION("""COMPUTED_VALUE"""),"Шипуново , МКУДО Шипуновская СШ ")</f>
        <v xml:space="preserve">Шипуново , МКУДО Шипуновская СШ </v>
      </c>
      <c r="M130" s="1" t="str">
        <f ca="1">IFERROR(__xludf.DUMMYFUNCTION("""COMPUTED_VALUE"""),"Шипуново ")</f>
        <v xml:space="preserve">Шипуново </v>
      </c>
      <c r="N130" s="1"/>
      <c r="O130" s="1" t="str">
        <f ca="1">IFERROR(__xludf.DUMMYFUNCTION("""COMPUTED_VALUE"""),"Куликов В.М. Курочка Д.В.")</f>
        <v>Куликов В.М. Курочка Д.В.</v>
      </c>
    </row>
    <row r="131" spans="1:15">
      <c r="A131" s="44"/>
      <c r="B131" s="44"/>
      <c r="C131" s="1">
        <f ca="1">IFERROR(__xludf.DUMMYFUNCTION("""COMPUTED_VALUE"""),71)</f>
        <v>71</v>
      </c>
      <c r="D131" s="1">
        <f ca="1">IFERROR(__xludf.DUMMYFUNCTION("""COMPUTED_VALUE"""),71)</f>
        <v>71</v>
      </c>
      <c r="E131" s="1"/>
      <c r="F131" s="1">
        <f ca="1">IFERROR(__xludf.DUMMYFUNCTION("""COMPUTED_VALUE"""),9)</f>
        <v>9</v>
      </c>
      <c r="G131" s="1" t="str">
        <f ca="1">IFERROR(__xludf.DUMMYFUNCTION("""COMPUTED_VALUE"""),"СОЛОДКОВ Платон")</f>
        <v>СОЛОДКОВ Платон</v>
      </c>
      <c r="H131" s="1" t="str">
        <f ca="1">IFERROR(__xludf.DUMMYFUNCTION("""COMPUTED_VALUE"""),"СОЛОДКОВ Платон Александрович ")</f>
        <v xml:space="preserve">СОЛОДКОВ Платон Александрович </v>
      </c>
      <c r="I131" s="1" t="str">
        <f ca="1">IFERROR(__xludf.DUMMYFUNCTION("""COMPUTED_VALUE"""),"29.09.10, 3сп")</f>
        <v>29.09.10, 3сп</v>
      </c>
      <c r="J131" s="1" t="str">
        <f ca="1">IFERROR(__xludf.DUMMYFUNCTION("""COMPUTED_VALUE"""),"3сп")</f>
        <v>3сп</v>
      </c>
      <c r="K131" s="1" t="str">
        <f ca="1">IFERROR(__xludf.DUMMYFUNCTION("""COMPUTED_VALUE"""),"СФО")</f>
        <v>СФО</v>
      </c>
      <c r="L131" s="1" t="str">
        <f ca="1">IFERROR(__xludf.DUMMYFUNCTION("""COMPUTED_VALUE"""),"Бийск , СШОР №3 им.А.Гуляева")</f>
        <v>Бийск , СШОР №3 им.А.Гуляева</v>
      </c>
      <c r="M131" s="1" t="str">
        <f ca="1">IFERROR(__xludf.DUMMYFUNCTION("""COMPUTED_VALUE"""),"Бийск ")</f>
        <v xml:space="preserve">Бийск </v>
      </c>
      <c r="N131" s="1"/>
      <c r="O131" s="1" t="str">
        <f ca="1">IFERROR(__xludf.DUMMYFUNCTION("""COMPUTED_VALUE"""),"Гаврилов В.В., Асадова А.В.")</f>
        <v>Гаврилов В.В., Асадова А.В.</v>
      </c>
    </row>
    <row r="132" spans="1:15">
      <c r="A132" s="44"/>
      <c r="B132" s="44"/>
      <c r="C132" s="1">
        <f ca="1">IFERROR(__xludf.DUMMYFUNCTION("""COMPUTED_VALUE"""),71)</f>
        <v>71</v>
      </c>
      <c r="D132" s="1">
        <f ca="1">IFERROR(__xludf.DUMMYFUNCTION("""COMPUTED_VALUE"""),71)</f>
        <v>71</v>
      </c>
      <c r="E132" s="1"/>
      <c r="F132" s="1">
        <f ca="1">IFERROR(__xludf.DUMMYFUNCTION("""COMPUTED_VALUE"""),10)</f>
        <v>10</v>
      </c>
      <c r="G132" s="1" t="str">
        <f ca="1">IFERROR(__xludf.DUMMYFUNCTION("""COMPUTED_VALUE"""),"ПАРАТНИКОВ Георгий")</f>
        <v>ПАРАТНИКОВ Георгий</v>
      </c>
      <c r="H132" s="1" t="str">
        <f ca="1">IFERROR(__xludf.DUMMYFUNCTION("""COMPUTED_VALUE"""),"ПАРАТНИКОВ Георгий Викторович")</f>
        <v>ПАРАТНИКОВ Георгий Викторович</v>
      </c>
      <c r="I132" s="1" t="str">
        <f ca="1">IFERROR(__xludf.DUMMYFUNCTION("""COMPUTED_VALUE"""),"25.07.09, 1сп")</f>
        <v>25.07.09, 1сп</v>
      </c>
      <c r="J132" s="1" t="str">
        <f ca="1">IFERROR(__xludf.DUMMYFUNCTION("""COMPUTED_VALUE"""),"1сп")</f>
        <v>1сп</v>
      </c>
      <c r="K132" s="1" t="str">
        <f ca="1">IFERROR(__xludf.DUMMYFUNCTION("""COMPUTED_VALUE"""),"СФО")</f>
        <v>СФО</v>
      </c>
      <c r="L132" s="1" t="str">
        <f ca="1">IFERROR(__xludf.DUMMYFUNCTION("""COMPUTED_VALUE"""),"Барнаул, КСШОР")</f>
        <v>Барнаул, КСШОР</v>
      </c>
      <c r="M132" s="1" t="str">
        <f ca="1">IFERROR(__xludf.DUMMYFUNCTION("""COMPUTED_VALUE"""),"Барнаул")</f>
        <v>Барнаул</v>
      </c>
      <c r="N132" s="1"/>
      <c r="O132" s="1" t="str">
        <f ca="1">IFERROR(__xludf.DUMMYFUNCTION("""COMPUTED_VALUE"""),"Мелихов Р.С.")</f>
        <v>Мелихов Р.С.</v>
      </c>
    </row>
    <row r="133" spans="1:15">
      <c r="A133" s="44"/>
      <c r="B133" s="44"/>
      <c r="C133" s="1">
        <f ca="1">IFERROR(__xludf.DUMMYFUNCTION("""COMPUTED_VALUE"""),71)</f>
        <v>71</v>
      </c>
      <c r="D133" s="1">
        <f ca="1">IFERROR(__xludf.DUMMYFUNCTION("""COMPUTED_VALUE"""),71)</f>
        <v>71</v>
      </c>
      <c r="E133" s="1"/>
      <c r="F133" s="1">
        <f ca="1">IFERROR(__xludf.DUMMYFUNCTION("""COMPUTED_VALUE"""),11)</f>
        <v>11</v>
      </c>
      <c r="G133" s="1" t="str">
        <f ca="1">IFERROR(__xludf.DUMMYFUNCTION("""COMPUTED_VALUE"""),"ЗАЙЦЕВ Максим")</f>
        <v>ЗАЙЦЕВ Максим</v>
      </c>
      <c r="H133" s="1" t="str">
        <f ca="1">IFERROR(__xludf.DUMMYFUNCTION("""COMPUTED_VALUE"""),"ЗАЙЦЕВ Максим Витальевич")</f>
        <v>ЗАЙЦЕВ Максим Витальевич</v>
      </c>
      <c r="I133" s="1" t="str">
        <f ca="1">IFERROR(__xludf.DUMMYFUNCTION("""COMPUTED_VALUE"""),"21.12.10, 1юн")</f>
        <v>21.12.10, 1юн</v>
      </c>
      <c r="J133" s="1" t="str">
        <f ca="1">IFERROR(__xludf.DUMMYFUNCTION("""COMPUTED_VALUE"""),"1юн")</f>
        <v>1юн</v>
      </c>
      <c r="K133" s="1" t="str">
        <f ca="1">IFERROR(__xludf.DUMMYFUNCTION("""COMPUTED_VALUE"""),"СФО")</f>
        <v>СФО</v>
      </c>
      <c r="L133" s="1" t="str">
        <f ca="1">IFERROR(__xludf.DUMMYFUNCTION("""COMPUTED_VALUE"""),"Шипуново , МКУДО Шипуновская СШ ")</f>
        <v xml:space="preserve">Шипуново , МКУДО Шипуновская СШ </v>
      </c>
      <c r="M133" s="1" t="str">
        <f ca="1">IFERROR(__xludf.DUMMYFUNCTION("""COMPUTED_VALUE"""),"Шипуново ")</f>
        <v xml:space="preserve">Шипуново </v>
      </c>
      <c r="N133" s="1"/>
      <c r="O133" s="1" t="str">
        <f ca="1">IFERROR(__xludf.DUMMYFUNCTION("""COMPUTED_VALUE"""),"Куликов В.М. Курочка Д.В.")</f>
        <v>Куликов В.М. Курочка Д.В.</v>
      </c>
    </row>
    <row r="134" spans="1:15">
      <c r="A134" s="44"/>
      <c r="B134" s="44"/>
      <c r="C134" s="1">
        <f ca="1">IFERROR(__xludf.DUMMYFUNCTION("""COMPUTED_VALUE"""),71)</f>
        <v>71</v>
      </c>
      <c r="D134" s="1">
        <f ca="1">IFERROR(__xludf.DUMMYFUNCTION("""COMPUTED_VALUE"""),71)</f>
        <v>71</v>
      </c>
      <c r="E134" s="1"/>
      <c r="F134" s="1">
        <f ca="1">IFERROR(__xludf.DUMMYFUNCTION("""COMPUTED_VALUE"""),12)</f>
        <v>12</v>
      </c>
      <c r="G134" s="1" t="str">
        <f ca="1">IFERROR(__xludf.DUMMYFUNCTION("""COMPUTED_VALUE"""),"САВЕЛЬКИН Игорь")</f>
        <v>САВЕЛЬКИН Игорь</v>
      </c>
      <c r="H134" s="1" t="str">
        <f ca="1">IFERROR(__xludf.DUMMYFUNCTION("""COMPUTED_VALUE"""),"САВЕЛЬКИН Игорь Александрович")</f>
        <v>САВЕЛЬКИН Игорь Александрович</v>
      </c>
      <c r="I134" s="1" t="str">
        <f ca="1">IFERROR(__xludf.DUMMYFUNCTION("""COMPUTED_VALUE"""),"05.04.09, 2юн")</f>
        <v>05.04.09, 2юн</v>
      </c>
      <c r="J134" s="1" t="str">
        <f ca="1">IFERROR(__xludf.DUMMYFUNCTION("""COMPUTED_VALUE"""),"2юн")</f>
        <v>2юн</v>
      </c>
      <c r="K134" s="1" t="str">
        <f ca="1">IFERROR(__xludf.DUMMYFUNCTION("""COMPUTED_VALUE"""),"СФО")</f>
        <v>СФО</v>
      </c>
      <c r="L134" s="1" t="str">
        <f ca="1">IFERROR(__xludf.DUMMYFUNCTION("""COMPUTED_VALUE"""),"Быстрянка. , БСШ")</f>
        <v>Быстрянка. , БСШ</v>
      </c>
      <c r="M134" s="1" t="str">
        <f ca="1">IFERROR(__xludf.DUMMYFUNCTION("""COMPUTED_VALUE"""),"Быстрянка. ")</f>
        <v xml:space="preserve">Быстрянка. </v>
      </c>
      <c r="N134" s="1"/>
      <c r="O134" s="1" t="str">
        <f ca="1">IFERROR(__xludf.DUMMYFUNCTION("""COMPUTED_VALUE"""),"Мясников И. И. ")</f>
        <v xml:space="preserve">Мясников И. И. </v>
      </c>
    </row>
    <row r="135" spans="1:15">
      <c r="A135" s="44"/>
      <c r="B135" s="44"/>
      <c r="C135" s="1">
        <f ca="1">IFERROR(__xludf.DUMMYFUNCTION("""COMPUTED_VALUE"""),71)</f>
        <v>71</v>
      </c>
      <c r="D135" s="1">
        <f ca="1">IFERROR(__xludf.DUMMYFUNCTION("""COMPUTED_VALUE"""),71)</f>
        <v>71</v>
      </c>
      <c r="E135" s="1"/>
      <c r="F135" s="1">
        <f ca="1">IFERROR(__xludf.DUMMYFUNCTION("""COMPUTED_VALUE"""),13)</f>
        <v>13</v>
      </c>
      <c r="G135" s="1" t="str">
        <f ca="1">IFERROR(__xludf.DUMMYFUNCTION("""COMPUTED_VALUE"""),"МОРГУНОВ Вячеслав")</f>
        <v>МОРГУНОВ Вячеслав</v>
      </c>
      <c r="H135" s="1" t="str">
        <f ca="1">IFERROR(__xludf.DUMMYFUNCTION("""COMPUTED_VALUE"""),"МОРГУНОВ Вячеслав Евгеньевич")</f>
        <v>МОРГУНОВ Вячеслав Евгеньевич</v>
      </c>
      <c r="I135" s="1" t="str">
        <f ca="1">IFERROR(__xludf.DUMMYFUNCTION("""COMPUTED_VALUE"""),"05.07.09, 1юн")</f>
        <v>05.07.09, 1юн</v>
      </c>
      <c r="J135" s="1" t="str">
        <f ca="1">IFERROR(__xludf.DUMMYFUNCTION("""COMPUTED_VALUE"""),"1юн")</f>
        <v>1юн</v>
      </c>
      <c r="K135" s="1" t="str">
        <f ca="1">IFERROR(__xludf.DUMMYFUNCTION("""COMPUTED_VALUE"""),"СФО")</f>
        <v>СФО</v>
      </c>
      <c r="L135" s="1" t="str">
        <f ca="1">IFERROR(__xludf.DUMMYFUNCTION("""COMPUTED_VALUE"""),"Бийск, СШОР №3")</f>
        <v>Бийск, СШОР №3</v>
      </c>
      <c r="M135" s="1" t="str">
        <f ca="1">IFERROR(__xludf.DUMMYFUNCTION("""COMPUTED_VALUE"""),"Бийск")</f>
        <v>Бийск</v>
      </c>
      <c r="N135" s="1"/>
      <c r="O135" s="1" t="str">
        <f ca="1">IFERROR(__xludf.DUMMYFUNCTION("""COMPUTED_VALUE"""),"Шалюта П.В., Паринова Т.В.")</f>
        <v>Шалюта П.В., Паринова Т.В.</v>
      </c>
    </row>
    <row r="136" spans="1:15">
      <c r="A136" s="44"/>
      <c r="B136" s="44"/>
      <c r="C136" s="1">
        <f ca="1">IFERROR(__xludf.DUMMYFUNCTION("""COMPUTED_VALUE"""),71)</f>
        <v>71</v>
      </c>
      <c r="D136" s="1">
        <f ca="1">IFERROR(__xludf.DUMMYFUNCTION("""COMPUTED_VALUE"""),71)</f>
        <v>71</v>
      </c>
      <c r="E136" s="1"/>
      <c r="F136" s="1">
        <f ca="1">IFERROR(__xludf.DUMMYFUNCTION("""COMPUTED_VALUE"""),14)</f>
        <v>14</v>
      </c>
      <c r="G136" s="1" t="str">
        <f ca="1">IFERROR(__xludf.DUMMYFUNCTION("""COMPUTED_VALUE"""),"ЗЯБЛИЦКИЙ  Кирилл")</f>
        <v>ЗЯБЛИЦКИЙ  Кирилл</v>
      </c>
      <c r="H136" s="1" t="str">
        <f ca="1">IFERROR(__xludf.DUMMYFUNCTION("""COMPUTED_VALUE"""),"ЗЯБЛИЦКИЙ  Кирилл Дмитриевич")</f>
        <v>ЗЯБЛИЦКИЙ  Кирилл Дмитриевич</v>
      </c>
      <c r="I136" s="1" t="str">
        <f ca="1">IFERROR(__xludf.DUMMYFUNCTION("""COMPUTED_VALUE"""),"28.06.09, 3юн")</f>
        <v>28.06.09, 3юн</v>
      </c>
      <c r="J136" s="1" t="str">
        <f ca="1">IFERROR(__xludf.DUMMYFUNCTION("""COMPUTED_VALUE"""),"3юн")</f>
        <v>3юн</v>
      </c>
      <c r="K136" s="1" t="str">
        <f ca="1">IFERROR(__xludf.DUMMYFUNCTION("""COMPUTED_VALUE"""),"СФО")</f>
        <v>СФО</v>
      </c>
      <c r="L136" s="1" t="str">
        <f ca="1">IFERROR(__xludf.DUMMYFUNCTION("""COMPUTED_VALUE"""),"Барнаул, АУОР")</f>
        <v>Барнаул, АУОР</v>
      </c>
      <c r="M136" s="1" t="str">
        <f ca="1">IFERROR(__xludf.DUMMYFUNCTION("""COMPUTED_VALUE"""),"Барнаул")</f>
        <v>Барнаул</v>
      </c>
      <c r="N136" s="1"/>
      <c r="O136" s="1" t="str">
        <f ca="1">IFERROR(__xludf.DUMMYFUNCTION("""COMPUTED_VALUE"""),"Тюкин Сергей Георгиевич")</f>
        <v>Тюкин Сергей Георгиевич</v>
      </c>
    </row>
    <row r="137" spans="1:15">
      <c r="A137" s="44"/>
      <c r="B137" s="44"/>
      <c r="C137" s="1">
        <f ca="1">IFERROR(__xludf.DUMMYFUNCTION("""COMPUTED_VALUE"""),71)</f>
        <v>71</v>
      </c>
      <c r="D137" s="1">
        <f ca="1">IFERROR(__xludf.DUMMYFUNCTION("""COMPUTED_VALUE"""),71)</f>
        <v>71</v>
      </c>
      <c r="E137" s="1"/>
      <c r="F137" s="1">
        <f ca="1">IFERROR(__xludf.DUMMYFUNCTION("""COMPUTED_VALUE"""),15)</f>
        <v>15</v>
      </c>
      <c r="G137" s="1" t="str">
        <f ca="1">IFERROR(__xludf.DUMMYFUNCTION("""COMPUTED_VALUE"""),"РУПП  Александр ")</f>
        <v xml:space="preserve">РУПП  Александр </v>
      </c>
      <c r="H137" s="1" t="str">
        <f ca="1">IFERROR(__xludf.DUMMYFUNCTION("""COMPUTED_VALUE"""),"РУПП  Александр  Денисович ")</f>
        <v xml:space="preserve">РУПП  Александр  Денисович </v>
      </c>
      <c r="I137" s="1" t="str">
        <f ca="1">IFERROR(__xludf.DUMMYFUNCTION("""COMPUTED_VALUE"""),"12.11.09, 1юн")</f>
        <v>12.11.09, 1юн</v>
      </c>
      <c r="J137" s="1" t="str">
        <f ca="1">IFERROR(__xludf.DUMMYFUNCTION("""COMPUTED_VALUE"""),"1юн")</f>
        <v>1юн</v>
      </c>
      <c r="K137" s="1" t="str">
        <f ca="1">IFERROR(__xludf.DUMMYFUNCTION("""COMPUTED_VALUE"""),"СФО")</f>
        <v>СФО</v>
      </c>
      <c r="L137" s="1" t="str">
        <f ca="1">IFERROR(__xludf.DUMMYFUNCTION("""COMPUTED_VALUE"""),"Барнаул , СК Ирбис ")</f>
        <v xml:space="preserve">Барнаул , СК Ирбис </v>
      </c>
      <c r="M137" s="1" t="str">
        <f ca="1">IFERROR(__xludf.DUMMYFUNCTION("""COMPUTED_VALUE"""),"Барнаул ")</f>
        <v xml:space="preserve">Барнаул </v>
      </c>
      <c r="N137" s="1"/>
      <c r="O137" s="1" t="str">
        <f ca="1">IFERROR(__xludf.DUMMYFUNCTION("""COMPUTED_VALUE"""),"Чекарёв А.В. ")</f>
        <v xml:space="preserve">Чекарёв А.В. </v>
      </c>
    </row>
    <row r="138" spans="1:15">
      <c r="A138" s="44"/>
      <c r="B138" s="44"/>
      <c r="C138" s="1">
        <f ca="1">IFERROR(__xludf.DUMMYFUNCTION("""COMPUTED_VALUE"""),71)</f>
        <v>71</v>
      </c>
      <c r="D138" s="1">
        <f ca="1">IFERROR(__xludf.DUMMYFUNCTION("""COMPUTED_VALUE"""),71)</f>
        <v>71</v>
      </c>
      <c r="E138" s="1"/>
      <c r="F138" s="1">
        <f ca="1">IFERROR(__xludf.DUMMYFUNCTION("""COMPUTED_VALUE"""),16)</f>
        <v>16</v>
      </c>
      <c r="G138" s="1" t="str">
        <f ca="1">IFERROR(__xludf.DUMMYFUNCTION("""COMPUTED_VALUE"""),"ДОРОНИН Матвей")</f>
        <v>ДОРОНИН Матвей</v>
      </c>
      <c r="H138" s="1" t="str">
        <f ca="1">IFERROR(__xludf.DUMMYFUNCTION("""COMPUTED_VALUE"""),"ДОРОНИН Матвей Сергеевич")</f>
        <v>ДОРОНИН Матвей Сергеевич</v>
      </c>
      <c r="I138" s="1" t="str">
        <f ca="1">IFERROR(__xludf.DUMMYFUNCTION("""COMPUTED_VALUE"""),"02.04.10, 2юн")</f>
        <v>02.04.10, 2юн</v>
      </c>
      <c r="J138" s="1" t="str">
        <f ca="1">IFERROR(__xludf.DUMMYFUNCTION("""COMPUTED_VALUE"""),"2юн")</f>
        <v>2юн</v>
      </c>
      <c r="K138" s="1" t="str">
        <f ca="1">IFERROR(__xludf.DUMMYFUNCTION("""COMPUTED_VALUE"""),"СФО")</f>
        <v>СФО</v>
      </c>
      <c r="L138" s="1" t="str">
        <f ca="1">IFERROR(__xludf.DUMMYFUNCTION("""COMPUTED_VALUE"""),"р.п. Благовещенка, Благовещенская СШ")</f>
        <v>р.п. Благовещенка, Благовещенская СШ</v>
      </c>
      <c r="M138" s="1" t="str">
        <f ca="1">IFERROR(__xludf.DUMMYFUNCTION("""COMPUTED_VALUE"""),"р.п. Благовещенка")</f>
        <v>р.п. Благовещенка</v>
      </c>
      <c r="N138" s="1"/>
      <c r="O138" s="1" t="str">
        <f ca="1">IFERROR(__xludf.DUMMYFUNCTION("""COMPUTED_VALUE"""),"Данильченко Е. Л., Екименко А. В.")</f>
        <v>Данильченко Е. Л., Екименко А. В.</v>
      </c>
    </row>
    <row r="139" spans="1:15">
      <c r="A139" s="44"/>
      <c r="B139" s="44"/>
      <c r="C139" s="1">
        <f ca="1">IFERROR(__xludf.DUMMYFUNCTION("""COMPUTED_VALUE"""),71)</f>
        <v>71</v>
      </c>
      <c r="D139" s="1">
        <f ca="1">IFERROR(__xludf.DUMMYFUNCTION("""COMPUTED_VALUE"""),71)</f>
        <v>71</v>
      </c>
      <c r="E139" s="1"/>
      <c r="F139" s="1">
        <f ca="1">IFERROR(__xludf.DUMMYFUNCTION("""COMPUTED_VALUE"""),17)</f>
        <v>17</v>
      </c>
      <c r="G139" s="1" t="str">
        <f ca="1">IFERROR(__xludf.DUMMYFUNCTION("""COMPUTED_VALUE"""),"КОПЬЁВ Артём")</f>
        <v>КОПЬЁВ Артём</v>
      </c>
      <c r="H139" s="1" t="str">
        <f ca="1">IFERROR(__xludf.DUMMYFUNCTION("""COMPUTED_VALUE"""),"КОПЬЁВ Артём Андреевич")</f>
        <v>КОПЬЁВ Артём Андреевич</v>
      </c>
      <c r="I139" s="1" t="str">
        <f ca="1">IFERROR(__xludf.DUMMYFUNCTION("""COMPUTED_VALUE"""),"08.12.09, 3юн")</f>
        <v>08.12.09, 3юн</v>
      </c>
      <c r="J139" s="1" t="str">
        <f ca="1">IFERROR(__xludf.DUMMYFUNCTION("""COMPUTED_VALUE"""),"3юн")</f>
        <v>3юн</v>
      </c>
      <c r="K139" s="1" t="str">
        <f ca="1">IFERROR(__xludf.DUMMYFUNCTION("""COMPUTED_VALUE"""),"СФО")</f>
        <v>СФО</v>
      </c>
      <c r="L139" s="1" t="str">
        <f ca="1">IFERROR(__xludf.DUMMYFUNCTION("""COMPUTED_VALUE"""),"Смоленский район, МБУДО ""СМОЛЕНСКАЯ СШ""")</f>
        <v>Смоленский район, МБУДО "СМОЛЕНСКАЯ СШ"</v>
      </c>
      <c r="M139" s="1" t="str">
        <f ca="1">IFERROR(__xludf.DUMMYFUNCTION("""COMPUTED_VALUE"""),"Смоленский район")</f>
        <v>Смоленский район</v>
      </c>
      <c r="N139" s="1"/>
      <c r="O139" s="1" t="str">
        <f ca="1">IFERROR(__xludf.DUMMYFUNCTION("""COMPUTED_VALUE"""),"Зеновьев. С. М")</f>
        <v>Зеновьев. С. М</v>
      </c>
    </row>
    <row r="140" spans="1:15">
      <c r="A140" s="44"/>
      <c r="B140" s="44"/>
      <c r="C140" s="1">
        <f ca="1">IFERROR(__xludf.DUMMYFUNCTION("""COMPUTED_VALUE"""),71)</f>
        <v>71</v>
      </c>
      <c r="D140" s="1">
        <f ca="1">IFERROR(__xludf.DUMMYFUNCTION("""COMPUTED_VALUE"""),71)</f>
        <v>71</v>
      </c>
      <c r="E140" s="1"/>
      <c r="F140" s="1">
        <f ca="1">IFERROR(__xludf.DUMMYFUNCTION("""COMPUTED_VALUE"""),18)</f>
        <v>18</v>
      </c>
      <c r="G140" s="1" t="str">
        <f ca="1">IFERROR(__xludf.DUMMYFUNCTION("""COMPUTED_VALUE"""),"КАЗАНИН Никита")</f>
        <v>КАЗАНИН Никита</v>
      </c>
      <c r="H140" s="1" t="str">
        <f ca="1">IFERROR(__xludf.DUMMYFUNCTION("""COMPUTED_VALUE"""),"КАЗАНИН Никита Евгеньевич ")</f>
        <v xml:space="preserve">КАЗАНИН Никита Евгеньевич </v>
      </c>
      <c r="I140" s="1" t="str">
        <f ca="1">IFERROR(__xludf.DUMMYFUNCTION("""COMPUTED_VALUE"""),"27.02.09, 2сп")</f>
        <v>27.02.09, 2сп</v>
      </c>
      <c r="J140" s="1" t="str">
        <f ca="1">IFERROR(__xludf.DUMMYFUNCTION("""COMPUTED_VALUE"""),"2сп")</f>
        <v>2сп</v>
      </c>
      <c r="K140" s="1" t="str">
        <f ca="1">IFERROR(__xludf.DUMMYFUNCTION("""COMPUTED_VALUE"""),"СФО")</f>
        <v>СФО</v>
      </c>
      <c r="L140" s="1" t="str">
        <f ca="1">IFERROR(__xludf.DUMMYFUNCTION("""COMPUTED_VALUE"""),"Бийск , СШОР №3 им.А.Гуляева")</f>
        <v>Бийск , СШОР №3 им.А.Гуляева</v>
      </c>
      <c r="M140" s="1" t="str">
        <f ca="1">IFERROR(__xludf.DUMMYFUNCTION("""COMPUTED_VALUE"""),"Бийск ")</f>
        <v xml:space="preserve">Бийск </v>
      </c>
      <c r="N140" s="1"/>
      <c r="O140" s="1" t="str">
        <f ca="1">IFERROR(__xludf.DUMMYFUNCTION("""COMPUTED_VALUE"""),"Теренин П.В., Кайгородов О.С.")</f>
        <v>Теренин П.В., Кайгородов О.С.</v>
      </c>
    </row>
    <row r="141" spans="1:15">
      <c r="A141" s="44"/>
      <c r="B141" s="44"/>
      <c r="C141" s="1">
        <f ca="1">IFERROR(__xludf.DUMMYFUNCTION("""COMPUTED_VALUE"""),71)</f>
        <v>71</v>
      </c>
      <c r="D141" s="1">
        <f ca="1">IFERROR(__xludf.DUMMYFUNCTION("""COMPUTED_VALUE"""),71)</f>
        <v>71</v>
      </c>
      <c r="E141" s="1"/>
      <c r="F141" s="1">
        <f ca="1">IFERROR(__xludf.DUMMYFUNCTION("""COMPUTED_VALUE"""),19)</f>
        <v>19</v>
      </c>
      <c r="G141" s="1" t="str">
        <f ca="1">IFERROR(__xludf.DUMMYFUNCTION("""COMPUTED_VALUE"""),"ДРАГУНОВ  Максим ")</f>
        <v xml:space="preserve">ДРАГУНОВ  Максим </v>
      </c>
      <c r="H141" s="1" t="str">
        <f ca="1">IFERROR(__xludf.DUMMYFUNCTION("""COMPUTED_VALUE"""),"ДРАГУНОВ  Максим  Андреевич ")</f>
        <v xml:space="preserve">ДРАГУНОВ  Максим  Андреевич </v>
      </c>
      <c r="I141" s="1" t="str">
        <f ca="1">IFERROR(__xludf.DUMMYFUNCTION("""COMPUTED_VALUE"""),"28.04.10, 3сп")</f>
        <v>28.04.10, 3сп</v>
      </c>
      <c r="J141" s="1" t="str">
        <f ca="1">IFERROR(__xludf.DUMMYFUNCTION("""COMPUTED_VALUE"""),"3сп")</f>
        <v>3сп</v>
      </c>
      <c r="K141" s="1" t="str">
        <f ca="1">IFERROR(__xludf.DUMMYFUNCTION("""COMPUTED_VALUE"""),"СФО")</f>
        <v>СФО</v>
      </c>
      <c r="L141" s="1" t="str">
        <f ca="1">IFERROR(__xludf.DUMMYFUNCTION("""COMPUTED_VALUE"""),"Шипуново , Шипуновская СШ")</f>
        <v>Шипуново , Шипуновская СШ</v>
      </c>
      <c r="M141" s="1" t="str">
        <f ca="1">IFERROR(__xludf.DUMMYFUNCTION("""COMPUTED_VALUE"""),"Шипуново ")</f>
        <v xml:space="preserve">Шипуново </v>
      </c>
      <c r="N141" s="1"/>
      <c r="O141" s="1" t="str">
        <f ca="1">IFERROR(__xludf.DUMMYFUNCTION("""COMPUTED_VALUE"""),"Куликов В.М.,  Курочка Д.В.")</f>
        <v>Куликов В.М.,  Курочка Д.В.</v>
      </c>
    </row>
    <row r="142" spans="1:15">
      <c r="A142" s="44"/>
      <c r="B142" s="44"/>
      <c r="C142" s="1">
        <f ca="1">IFERROR(__xludf.DUMMYFUNCTION("""COMPUTED_VALUE"""),71)</f>
        <v>71</v>
      </c>
      <c r="D142" s="1">
        <f ca="1">IFERROR(__xludf.DUMMYFUNCTION("""COMPUTED_VALUE"""),71)</f>
        <v>71</v>
      </c>
      <c r="E142" s="1"/>
      <c r="F142" s="1">
        <f ca="1">IFERROR(__xludf.DUMMYFUNCTION("""COMPUTED_VALUE"""),20)</f>
        <v>20</v>
      </c>
      <c r="G142" s="1" t="str">
        <f ca="1">IFERROR(__xludf.DUMMYFUNCTION("""COMPUTED_VALUE"""),"ИЛЬИНСКИЙ  Максим ")</f>
        <v xml:space="preserve">ИЛЬИНСКИЙ  Максим </v>
      </c>
      <c r="H142" s="1" t="str">
        <f ca="1">IFERROR(__xludf.DUMMYFUNCTION("""COMPUTED_VALUE"""),"ИЛЬИНСКИЙ  Максим  Алексеевич ")</f>
        <v xml:space="preserve">ИЛЬИНСКИЙ  Максим  Алексеевич </v>
      </c>
      <c r="I142" s="1" t="str">
        <f ca="1">IFERROR(__xludf.DUMMYFUNCTION("""COMPUTED_VALUE"""),"16.08.10, 3юн")</f>
        <v>16.08.10, 3юн</v>
      </c>
      <c r="J142" s="1" t="str">
        <f ca="1">IFERROR(__xludf.DUMMYFUNCTION("""COMPUTED_VALUE"""),"3юн")</f>
        <v>3юн</v>
      </c>
      <c r="K142" s="1" t="str">
        <f ca="1">IFERROR(__xludf.DUMMYFUNCTION("""COMPUTED_VALUE"""),"СФО")</f>
        <v>СФО</v>
      </c>
      <c r="L142" s="1" t="str">
        <f ca="1">IFERROR(__xludf.DUMMYFUNCTION("""COMPUTED_VALUE"""),"Барнаул , КСШОР ")</f>
        <v xml:space="preserve">Барнаул , КСШОР </v>
      </c>
      <c r="M142" s="1" t="str">
        <f ca="1">IFERROR(__xludf.DUMMYFUNCTION("""COMPUTED_VALUE"""),"Барнаул ")</f>
        <v xml:space="preserve">Барнаул </v>
      </c>
      <c r="N142" s="1"/>
      <c r="O142" s="1" t="str">
        <f ca="1">IFERROR(__xludf.DUMMYFUNCTION("""COMPUTED_VALUE"""),"Мелихов Р.С. ")</f>
        <v xml:space="preserve">Мелихов Р.С. </v>
      </c>
    </row>
    <row r="143" spans="1:15">
      <c r="A143" s="44"/>
      <c r="B143" s="44"/>
      <c r="C143" s="1">
        <f ca="1">IFERROR(__xludf.DUMMYFUNCTION("""COMPUTED_VALUE"""),79)</f>
        <v>79</v>
      </c>
      <c r="D143" s="1">
        <f ca="1">IFERROR(__xludf.DUMMYFUNCTION("""COMPUTED_VALUE"""),79)</f>
        <v>79</v>
      </c>
      <c r="E143" s="1"/>
      <c r="F143" s="1">
        <f ca="1">IFERROR(__xludf.DUMMYFUNCTION("""COMPUTED_VALUE"""),1)</f>
        <v>1</v>
      </c>
      <c r="G143" s="1" t="str">
        <f ca="1">IFERROR(__xludf.DUMMYFUNCTION("""COMPUTED_VALUE"""),"ЛУНИН  Матвей ")</f>
        <v xml:space="preserve">ЛУНИН  Матвей </v>
      </c>
      <c r="H143" s="1" t="str">
        <f ca="1">IFERROR(__xludf.DUMMYFUNCTION("""COMPUTED_VALUE"""),"ЛУНИН  Матвей  Андреевич")</f>
        <v>ЛУНИН  Матвей  Андреевич</v>
      </c>
      <c r="I143" s="1" t="str">
        <f ca="1">IFERROR(__xludf.DUMMYFUNCTION("""COMPUTED_VALUE"""),"20.01.09, 1юн")</f>
        <v>20.01.09, 1юн</v>
      </c>
      <c r="J143" s="1" t="str">
        <f ca="1">IFERROR(__xludf.DUMMYFUNCTION("""COMPUTED_VALUE"""),"1юн")</f>
        <v>1юн</v>
      </c>
      <c r="K143" s="1" t="str">
        <f ca="1">IFERROR(__xludf.DUMMYFUNCTION("""COMPUTED_VALUE"""),"СФО")</f>
        <v>СФО</v>
      </c>
      <c r="L143" s="1" t="str">
        <f ca="1">IFERROR(__xludf.DUMMYFUNCTION("""COMPUTED_VALUE"""),"Барнаул , Сш Ирбис ")</f>
        <v xml:space="preserve">Барнаул , Сш Ирбис </v>
      </c>
      <c r="M143" s="1" t="str">
        <f ca="1">IFERROR(__xludf.DUMMYFUNCTION("""COMPUTED_VALUE"""),"Барнаул ")</f>
        <v xml:space="preserve">Барнаул </v>
      </c>
      <c r="N143" s="1"/>
      <c r="O143" s="1" t="str">
        <f ca="1">IFERROR(__xludf.DUMMYFUNCTION("""COMPUTED_VALUE"""),"Чекарев А.В")</f>
        <v>Чекарев А.В</v>
      </c>
    </row>
    <row r="144" spans="1:15">
      <c r="A144" s="44"/>
      <c r="B144" s="44"/>
      <c r="C144" s="1">
        <f ca="1">IFERROR(__xludf.DUMMYFUNCTION("""COMPUTED_VALUE"""),79)</f>
        <v>79</v>
      </c>
      <c r="D144" s="1">
        <f ca="1">IFERROR(__xludf.DUMMYFUNCTION("""COMPUTED_VALUE"""),79)</f>
        <v>79</v>
      </c>
      <c r="E144" s="1"/>
      <c r="F144" s="1">
        <f ca="1">IFERROR(__xludf.DUMMYFUNCTION("""COMPUTED_VALUE"""),2)</f>
        <v>2</v>
      </c>
      <c r="G144" s="1" t="str">
        <f ca="1">IFERROR(__xludf.DUMMYFUNCTION("""COMPUTED_VALUE"""),"ИВЛЕВ  Иван ")</f>
        <v xml:space="preserve">ИВЛЕВ  Иван </v>
      </c>
      <c r="H144" s="1" t="str">
        <f ca="1">IFERROR(__xludf.DUMMYFUNCTION("""COMPUTED_VALUE"""),"ИВЛЕВ  Иван  Сергеевич")</f>
        <v>ИВЛЕВ  Иван  Сергеевич</v>
      </c>
      <c r="I144" s="1" t="str">
        <f ca="1">IFERROR(__xludf.DUMMYFUNCTION("""COMPUTED_VALUE"""),"09.06.09, 1юн")</f>
        <v>09.06.09, 1юн</v>
      </c>
      <c r="J144" s="1" t="str">
        <f ca="1">IFERROR(__xludf.DUMMYFUNCTION("""COMPUTED_VALUE"""),"1юн")</f>
        <v>1юн</v>
      </c>
      <c r="K144" s="1" t="str">
        <f ca="1">IFERROR(__xludf.DUMMYFUNCTION("""COMPUTED_VALUE"""),"СФО")</f>
        <v>СФО</v>
      </c>
      <c r="L144" s="1" t="str">
        <f ca="1">IFERROR(__xludf.DUMMYFUNCTION("""COMPUTED_VALUE"""),"Санниково, Дюсш Первомайского района")</f>
        <v>Санниково, Дюсш Первомайского района</v>
      </c>
      <c r="M144" s="1" t="str">
        <f ca="1">IFERROR(__xludf.DUMMYFUNCTION("""COMPUTED_VALUE"""),"Санниково")</f>
        <v>Санниково</v>
      </c>
      <c r="N144" s="1"/>
      <c r="O144" s="1" t="str">
        <f ca="1">IFERROR(__xludf.DUMMYFUNCTION("""COMPUTED_VALUE"""),"Таскин А.Ю.")</f>
        <v>Таскин А.Ю.</v>
      </c>
    </row>
    <row r="145" spans="1:15">
      <c r="A145" s="44"/>
      <c r="B145" s="44"/>
      <c r="C145" s="1">
        <f ca="1">IFERROR(__xludf.DUMMYFUNCTION("""COMPUTED_VALUE"""),79)</f>
        <v>79</v>
      </c>
      <c r="D145" s="1">
        <f ca="1">IFERROR(__xludf.DUMMYFUNCTION("""COMPUTED_VALUE"""),79)</f>
        <v>79</v>
      </c>
      <c r="E145" s="1"/>
      <c r="F145" s="1">
        <f ca="1">IFERROR(__xludf.DUMMYFUNCTION("""COMPUTED_VALUE"""),3)</f>
        <v>3</v>
      </c>
      <c r="G145" s="1" t="str">
        <f ca="1">IFERROR(__xludf.DUMMYFUNCTION("""COMPUTED_VALUE"""),"БЕРГ Тимофей")</f>
        <v>БЕРГ Тимофей</v>
      </c>
      <c r="H145" s="1" t="str">
        <f ca="1">IFERROR(__xludf.DUMMYFUNCTION("""COMPUTED_VALUE"""),"БЕРГ Тимофей Игоревич")</f>
        <v>БЕРГ Тимофей Игоревич</v>
      </c>
      <c r="I145" s="1" t="str">
        <f ca="1">IFERROR(__xludf.DUMMYFUNCTION("""COMPUTED_VALUE"""),"11.03.10, 1юн")</f>
        <v>11.03.10, 1юн</v>
      </c>
      <c r="J145" s="1" t="str">
        <f ca="1">IFERROR(__xludf.DUMMYFUNCTION("""COMPUTED_VALUE"""),"1юн")</f>
        <v>1юн</v>
      </c>
      <c r="K145" s="1" t="str">
        <f ca="1">IFERROR(__xludf.DUMMYFUNCTION("""COMPUTED_VALUE"""),"СФО")</f>
        <v>СФО</v>
      </c>
      <c r="L145" s="1" t="str">
        <f ca="1">IFERROR(__xludf.DUMMYFUNCTION("""COMPUTED_VALUE"""),"Благовещенка , СШ")</f>
        <v>Благовещенка , СШ</v>
      </c>
      <c r="M145" s="1" t="str">
        <f ca="1">IFERROR(__xludf.DUMMYFUNCTION("""COMPUTED_VALUE"""),"Благовещенка ")</f>
        <v xml:space="preserve">Благовещенка </v>
      </c>
      <c r="N145" s="1"/>
      <c r="O145" s="1" t="str">
        <f ca="1">IFERROR(__xludf.DUMMYFUNCTION("""COMPUTED_VALUE"""),"Дегтярев А.К. ")</f>
        <v xml:space="preserve">Дегтярев А.К. </v>
      </c>
    </row>
    <row r="146" spans="1:15">
      <c r="A146" s="44"/>
      <c r="B146" s="44"/>
      <c r="C146" s="1">
        <f ca="1">IFERROR(__xludf.DUMMYFUNCTION("""COMPUTED_VALUE"""),79)</f>
        <v>79</v>
      </c>
      <c r="D146" s="1">
        <f ca="1">IFERROR(__xludf.DUMMYFUNCTION("""COMPUTED_VALUE"""),79)</f>
        <v>79</v>
      </c>
      <c r="E146" s="1"/>
      <c r="F146" s="1">
        <f ca="1">IFERROR(__xludf.DUMMYFUNCTION("""COMPUTED_VALUE"""),4)</f>
        <v>4</v>
      </c>
      <c r="G146" s="1" t="str">
        <f ca="1">IFERROR(__xludf.DUMMYFUNCTION("""COMPUTED_VALUE"""),"ДОЦЕНКО  Даниил ")</f>
        <v xml:space="preserve">ДОЦЕНКО  Даниил </v>
      </c>
      <c r="H146" s="1" t="str">
        <f ca="1">IFERROR(__xludf.DUMMYFUNCTION("""COMPUTED_VALUE"""),"ДОЦЕНКО  Даниил  Михайлович ")</f>
        <v xml:space="preserve">ДОЦЕНКО  Даниил  Михайлович </v>
      </c>
      <c r="I146" s="1" t="str">
        <f ca="1">IFERROR(__xludf.DUMMYFUNCTION("""COMPUTED_VALUE"""),"20.04.09, 1юн")</f>
        <v>20.04.09, 1юн</v>
      </c>
      <c r="J146" s="1" t="str">
        <f ca="1">IFERROR(__xludf.DUMMYFUNCTION("""COMPUTED_VALUE"""),"1юн")</f>
        <v>1юн</v>
      </c>
      <c r="K146" s="1" t="str">
        <f ca="1">IFERROR(__xludf.DUMMYFUNCTION("""COMPUTED_VALUE"""),"СФО")</f>
        <v>СФО</v>
      </c>
      <c r="L146" s="1" t="str">
        <f ca="1">IFERROR(__xludf.DUMMYFUNCTION("""COMPUTED_VALUE"""),"Бийск , СШОР №3 им.А.Гуляева")</f>
        <v>Бийск , СШОР №3 им.А.Гуляева</v>
      </c>
      <c r="M146" s="1" t="str">
        <f ca="1">IFERROR(__xludf.DUMMYFUNCTION("""COMPUTED_VALUE"""),"Бийск ")</f>
        <v xml:space="preserve">Бийск </v>
      </c>
      <c r="N146" s="1"/>
      <c r="O146" s="1" t="str">
        <f ca="1">IFERROR(__xludf.DUMMYFUNCTION("""COMPUTED_VALUE"""),"Гаврилов В.В., Асадова А.В.")</f>
        <v>Гаврилов В.В., Асадова А.В.</v>
      </c>
    </row>
    <row r="147" spans="1:15">
      <c r="A147" s="44"/>
      <c r="B147" s="44"/>
      <c r="C147" s="1">
        <f ca="1">IFERROR(__xludf.DUMMYFUNCTION("""COMPUTED_VALUE"""),79)</f>
        <v>79</v>
      </c>
      <c r="D147" s="1">
        <f ca="1">IFERROR(__xludf.DUMMYFUNCTION("""COMPUTED_VALUE"""),79)</f>
        <v>79</v>
      </c>
      <c r="E147" s="1"/>
      <c r="F147" s="1">
        <f ca="1">IFERROR(__xludf.DUMMYFUNCTION("""COMPUTED_VALUE"""),5)</f>
        <v>5</v>
      </c>
      <c r="G147" s="1" t="str">
        <f ca="1">IFERROR(__xludf.DUMMYFUNCTION("""COMPUTED_VALUE"""),"АТЯСОВ Артём")</f>
        <v>АТЯСОВ Артём</v>
      </c>
      <c r="H147" s="1" t="str">
        <f ca="1">IFERROR(__xludf.DUMMYFUNCTION("""COMPUTED_VALUE"""),"АТЯСОВ Артём Олегович")</f>
        <v>АТЯСОВ Артём Олегович</v>
      </c>
      <c r="I147" s="1" t="str">
        <f ca="1">IFERROR(__xludf.DUMMYFUNCTION("""COMPUTED_VALUE"""),"22.04.10, 1юн")</f>
        <v>22.04.10, 1юн</v>
      </c>
      <c r="J147" s="1" t="str">
        <f ca="1">IFERROR(__xludf.DUMMYFUNCTION("""COMPUTED_VALUE"""),"1юн")</f>
        <v>1юн</v>
      </c>
      <c r="K147" s="1" t="str">
        <f ca="1">IFERROR(__xludf.DUMMYFUNCTION("""COMPUTED_VALUE"""),"СФО")</f>
        <v>СФО</v>
      </c>
      <c r="L147" s="1" t="str">
        <f ca="1">IFERROR(__xludf.DUMMYFUNCTION("""COMPUTED_VALUE"""),"Барнаул, СШ Ирбис")</f>
        <v>Барнаул, СШ Ирбис</v>
      </c>
      <c r="M147" s="1" t="str">
        <f ca="1">IFERROR(__xludf.DUMMYFUNCTION("""COMPUTED_VALUE"""),"Барнаул")</f>
        <v>Барнаул</v>
      </c>
      <c r="N147" s="1"/>
      <c r="O147" s="1" t="str">
        <f ca="1">IFERROR(__xludf.DUMMYFUNCTION("""COMPUTED_VALUE"""),"Чекарёв А.В.")</f>
        <v>Чекарёв А.В.</v>
      </c>
    </row>
    <row r="148" spans="1:15">
      <c r="A148" s="44"/>
      <c r="B148" s="44"/>
      <c r="C148" s="1">
        <f ca="1">IFERROR(__xludf.DUMMYFUNCTION("""COMPUTED_VALUE"""),79)</f>
        <v>79</v>
      </c>
      <c r="D148" s="1">
        <f ca="1">IFERROR(__xludf.DUMMYFUNCTION("""COMPUTED_VALUE"""),79)</f>
        <v>79</v>
      </c>
      <c r="E148" s="1"/>
      <c r="F148" s="1">
        <f ca="1">IFERROR(__xludf.DUMMYFUNCTION("""COMPUTED_VALUE"""),6)</f>
        <v>6</v>
      </c>
      <c r="G148" s="1" t="str">
        <f ca="1">IFERROR(__xludf.DUMMYFUNCTION("""COMPUTED_VALUE"""),"ПОЛЫГАЛОВ  Артур ")</f>
        <v xml:space="preserve">ПОЛЫГАЛОВ  Артур </v>
      </c>
      <c r="H148" s="1" t="str">
        <f ca="1">IFERROR(__xludf.DUMMYFUNCTION("""COMPUTED_VALUE"""),"ПОЛЫГАЛОВ  Артур  Александрович ")</f>
        <v xml:space="preserve">ПОЛЫГАЛОВ  Артур  Александрович </v>
      </c>
      <c r="I148" s="1" t="str">
        <f ca="1">IFERROR(__xludf.DUMMYFUNCTION("""COMPUTED_VALUE"""),"04.03.09, 1юн")</f>
        <v>04.03.09, 1юн</v>
      </c>
      <c r="J148" s="1" t="str">
        <f ca="1">IFERROR(__xludf.DUMMYFUNCTION("""COMPUTED_VALUE"""),"1юн")</f>
        <v>1юн</v>
      </c>
      <c r="K148" s="1" t="str">
        <f ca="1">IFERROR(__xludf.DUMMYFUNCTION("""COMPUTED_VALUE"""),"СФО")</f>
        <v>СФО</v>
      </c>
      <c r="L148" s="1" t="str">
        <f ca="1">IFERROR(__xludf.DUMMYFUNCTION("""COMPUTED_VALUE"""),"Барнаул, С/к Ирбис ")</f>
        <v xml:space="preserve">Барнаул, С/к Ирбис </v>
      </c>
      <c r="M148" s="1" t="str">
        <f ca="1">IFERROR(__xludf.DUMMYFUNCTION("""COMPUTED_VALUE"""),"Барнаул")</f>
        <v>Барнаул</v>
      </c>
      <c r="N148" s="1"/>
      <c r="O148" s="1" t="str">
        <f ca="1">IFERROR(__xludf.DUMMYFUNCTION("""COMPUTED_VALUE"""),"Торопынин А Е")</f>
        <v>Торопынин А Е</v>
      </c>
    </row>
    <row r="149" spans="1:15">
      <c r="A149" s="44"/>
      <c r="B149" s="44"/>
      <c r="C149" s="1">
        <f ca="1">IFERROR(__xludf.DUMMYFUNCTION("""COMPUTED_VALUE"""),79)</f>
        <v>79</v>
      </c>
      <c r="D149" s="1">
        <f ca="1">IFERROR(__xludf.DUMMYFUNCTION("""COMPUTED_VALUE"""),79)</f>
        <v>79</v>
      </c>
      <c r="E149" s="1"/>
      <c r="F149" s="1">
        <f ca="1">IFERROR(__xludf.DUMMYFUNCTION("""COMPUTED_VALUE"""),7)</f>
        <v>7</v>
      </c>
      <c r="G149" s="1" t="str">
        <f ca="1">IFERROR(__xludf.DUMMYFUNCTION("""COMPUTED_VALUE"""),"АРАПОВ Илья")</f>
        <v>АРАПОВ Илья</v>
      </c>
      <c r="H149" s="1" t="str">
        <f ca="1">IFERROR(__xludf.DUMMYFUNCTION("""COMPUTED_VALUE"""),"АРАПОВ Илья Владимирович ")</f>
        <v xml:space="preserve">АРАПОВ Илья Владимирович </v>
      </c>
      <c r="I149" s="1" t="str">
        <f ca="1">IFERROR(__xludf.DUMMYFUNCTION("""COMPUTED_VALUE"""),"21.07.09, 2юн")</f>
        <v>21.07.09, 2юн</v>
      </c>
      <c r="J149" s="1" t="str">
        <f ca="1">IFERROR(__xludf.DUMMYFUNCTION("""COMPUTED_VALUE"""),"2юн")</f>
        <v>2юн</v>
      </c>
      <c r="K149" s="1" t="str">
        <f ca="1">IFERROR(__xludf.DUMMYFUNCTION("""COMPUTED_VALUE"""),"СФО")</f>
        <v>СФО</v>
      </c>
      <c r="L149" s="1" t="str">
        <f ca="1">IFERROR(__xludf.DUMMYFUNCTION("""COMPUTED_VALUE"""),"Бийск , СШОР №3 им.А.Гуляева")</f>
        <v>Бийск , СШОР №3 им.А.Гуляева</v>
      </c>
      <c r="M149" s="1" t="str">
        <f ca="1">IFERROR(__xludf.DUMMYFUNCTION("""COMPUTED_VALUE"""),"Бийск ")</f>
        <v xml:space="preserve">Бийск </v>
      </c>
      <c r="N149" s="1"/>
      <c r="O149" s="1" t="str">
        <f ca="1">IFERROR(__xludf.DUMMYFUNCTION("""COMPUTED_VALUE"""),"Гаврилов В.В., Асадова А.В.")</f>
        <v>Гаврилов В.В., Асадова А.В.</v>
      </c>
    </row>
    <row r="150" spans="1:15">
      <c r="A150" s="44"/>
      <c r="B150" s="44"/>
      <c r="C150" s="1">
        <f ca="1">IFERROR(__xludf.DUMMYFUNCTION("""COMPUTED_VALUE"""),79)</f>
        <v>79</v>
      </c>
      <c r="D150" s="1">
        <f ca="1">IFERROR(__xludf.DUMMYFUNCTION("""COMPUTED_VALUE"""),79)</f>
        <v>79</v>
      </c>
      <c r="E150" s="1"/>
      <c r="F150" s="1">
        <f ca="1">IFERROR(__xludf.DUMMYFUNCTION("""COMPUTED_VALUE"""),8)</f>
        <v>8</v>
      </c>
      <c r="G150" s="1" t="str">
        <f ca="1">IFERROR(__xludf.DUMMYFUNCTION("""COMPUTED_VALUE"""),"СУМИН Артур")</f>
        <v>СУМИН Артур</v>
      </c>
      <c r="H150" s="1" t="str">
        <f ca="1">IFERROR(__xludf.DUMMYFUNCTION("""COMPUTED_VALUE"""),"СУМИН Артур Викторович")</f>
        <v>СУМИН Артур Викторович</v>
      </c>
      <c r="I150" s="1" t="str">
        <f ca="1">IFERROR(__xludf.DUMMYFUNCTION("""COMPUTED_VALUE"""),"18.01.10, 1юн")</f>
        <v>18.01.10, 1юн</v>
      </c>
      <c r="J150" s="1" t="str">
        <f ca="1">IFERROR(__xludf.DUMMYFUNCTION("""COMPUTED_VALUE"""),"1юн")</f>
        <v>1юн</v>
      </c>
      <c r="K150" s="1" t="str">
        <f ca="1">IFERROR(__xludf.DUMMYFUNCTION("""COMPUTED_VALUE"""),"СФО")</f>
        <v>СФО</v>
      </c>
      <c r="L150" s="1" t="str">
        <f ca="1">IFERROR(__xludf.DUMMYFUNCTION("""COMPUTED_VALUE"""),"Р. П. Благовещенка, Благовещенская СШ")</f>
        <v>Р. П. Благовещенка, Благовещенская СШ</v>
      </c>
      <c r="M150" s="1" t="str">
        <f ca="1">IFERROR(__xludf.DUMMYFUNCTION("""COMPUTED_VALUE"""),"Р. П. Благовещенка")</f>
        <v>Р. П. Благовещенка</v>
      </c>
      <c r="N150" s="1"/>
      <c r="O150" s="1" t="str">
        <f ca="1">IFERROR(__xludf.DUMMYFUNCTION("""COMPUTED_VALUE"""),"Данильченко Е. Л. Екименко А. В. ")</f>
        <v xml:space="preserve">Данильченко Е. Л. Екименко А. В. </v>
      </c>
    </row>
    <row r="151" spans="1:15">
      <c r="A151" s="44"/>
      <c r="B151" s="44"/>
      <c r="C151" s="1">
        <f ca="1">IFERROR(__xludf.DUMMYFUNCTION("""COMPUTED_VALUE"""),79)</f>
        <v>79</v>
      </c>
      <c r="D151" s="1">
        <f ca="1">IFERROR(__xludf.DUMMYFUNCTION("""COMPUTED_VALUE"""),79)</f>
        <v>79</v>
      </c>
      <c r="E151" s="1"/>
      <c r="F151" s="1">
        <f ca="1">IFERROR(__xludf.DUMMYFUNCTION("""COMPUTED_VALUE"""),9)</f>
        <v>9</v>
      </c>
      <c r="G151" s="1" t="str">
        <f ca="1">IFERROR(__xludf.DUMMYFUNCTION("""COMPUTED_VALUE"""),"БЖИТСКИХ Егор")</f>
        <v>БЖИТСКИХ Егор</v>
      </c>
      <c r="H151" s="1" t="str">
        <f ca="1">IFERROR(__xludf.DUMMYFUNCTION("""COMPUTED_VALUE"""),"БЖИТСКИХ Егор Валерьевич")</f>
        <v>БЖИТСКИХ Егор Валерьевич</v>
      </c>
      <c r="I151" s="1" t="str">
        <f ca="1">IFERROR(__xludf.DUMMYFUNCTION("""COMPUTED_VALUE"""),"23.09.10, 2юн")</f>
        <v>23.09.10, 2юн</v>
      </c>
      <c r="J151" s="1" t="str">
        <f ca="1">IFERROR(__xludf.DUMMYFUNCTION("""COMPUTED_VALUE"""),"2юн")</f>
        <v>2юн</v>
      </c>
      <c r="K151" s="1" t="str">
        <f ca="1">IFERROR(__xludf.DUMMYFUNCTION("""COMPUTED_VALUE"""),"СФО")</f>
        <v>СФО</v>
      </c>
      <c r="L151" s="1" t="str">
        <f ca="1">IFERROR(__xludf.DUMMYFUNCTION("""COMPUTED_VALUE"""),"Красногорское, МБУ ДО СШ Виктория")</f>
        <v>Красногорское, МБУ ДО СШ Виктория</v>
      </c>
      <c r="M151" s="1" t="str">
        <f ca="1">IFERROR(__xludf.DUMMYFUNCTION("""COMPUTED_VALUE"""),"Красногорское")</f>
        <v>Красногорское</v>
      </c>
      <c r="N151" s="1"/>
      <c r="O151" s="1" t="str">
        <f ca="1">IFERROR(__xludf.DUMMYFUNCTION("""COMPUTED_VALUE"""),"Тебереков Г. И. Политов К. В. ")</f>
        <v xml:space="preserve">Тебереков Г. И. Политов К. В. </v>
      </c>
    </row>
    <row r="152" spans="1:15">
      <c r="A152" s="44"/>
      <c r="B152" s="44"/>
      <c r="C152" s="1">
        <f ca="1">IFERROR(__xludf.DUMMYFUNCTION("""COMPUTED_VALUE"""),79)</f>
        <v>79</v>
      </c>
      <c r="D152" s="1">
        <f ca="1">IFERROR(__xludf.DUMMYFUNCTION("""COMPUTED_VALUE"""),79)</f>
        <v>79</v>
      </c>
      <c r="E152" s="1"/>
      <c r="F152" s="1">
        <f ca="1">IFERROR(__xludf.DUMMYFUNCTION("""COMPUTED_VALUE"""),10)</f>
        <v>10</v>
      </c>
      <c r="G152" s="1" t="str">
        <f ca="1">IFERROR(__xludf.DUMMYFUNCTION("""COMPUTED_VALUE"""),"СТАРЕНКО  Никита ")</f>
        <v xml:space="preserve">СТАРЕНКО  Никита </v>
      </c>
      <c r="H152" s="1" t="str">
        <f ca="1">IFERROR(__xludf.DUMMYFUNCTION("""COMPUTED_VALUE"""),"СТАРЕНКО  Никита  Сергеевич ")</f>
        <v xml:space="preserve">СТАРЕНКО  Никита  Сергеевич </v>
      </c>
      <c r="I152" s="1" t="str">
        <f ca="1">IFERROR(__xludf.DUMMYFUNCTION("""COMPUTED_VALUE"""),"02.04.09, 2сп")</f>
        <v>02.04.09, 2сп</v>
      </c>
      <c r="J152" s="1" t="str">
        <f ca="1">IFERROR(__xludf.DUMMYFUNCTION("""COMPUTED_VALUE"""),"2сп")</f>
        <v>2сп</v>
      </c>
      <c r="K152" s="1" t="str">
        <f ca="1">IFERROR(__xludf.DUMMYFUNCTION("""COMPUTED_VALUE"""),"СФО")</f>
        <v>СФО</v>
      </c>
      <c r="L152" s="1" t="str">
        <f ca="1">IFERROR(__xludf.DUMMYFUNCTION("""COMPUTED_VALUE"""),"г. Змеиногорс , МБУДО,, Змеиногорская СШ """)</f>
        <v>г. Змеиногорс , МБУДО,, Змеиногорская СШ "</v>
      </c>
      <c r="M152" s="1" t="str">
        <f ca="1">IFERROR(__xludf.DUMMYFUNCTION("""COMPUTED_VALUE"""),"г. Змеиногорс ")</f>
        <v xml:space="preserve">г. Змеиногорс </v>
      </c>
      <c r="N152" s="1"/>
      <c r="O152" s="1" t="str">
        <f ca="1">IFERROR(__xludf.DUMMYFUNCTION("""COMPUTED_VALUE"""),"Ломиворотов Сергей Сергеевич ")</f>
        <v xml:space="preserve">Ломиворотов Сергей Сергеевич </v>
      </c>
    </row>
    <row r="153" spans="1:15">
      <c r="A153" s="44"/>
      <c r="B153" s="44"/>
    </row>
    <row r="154" spans="1:15">
      <c r="A154" s="44"/>
      <c r="B154" s="44"/>
    </row>
    <row r="155" spans="1:15">
      <c r="A155" s="44"/>
      <c r="B155" s="44"/>
    </row>
    <row r="156" spans="1:15">
      <c r="A156" s="44"/>
      <c r="B156" s="44"/>
    </row>
    <row r="157" spans="1:15">
      <c r="A157" s="44"/>
      <c r="B157" s="44"/>
    </row>
    <row r="158" spans="1:15">
      <c r="A158" s="44"/>
      <c r="B158" s="44"/>
    </row>
    <row r="159" spans="1:15">
      <c r="A159" s="44"/>
      <c r="B159" s="44"/>
    </row>
    <row r="160" spans="1:15">
      <c r="A160" s="44"/>
      <c r="B160" s="44"/>
    </row>
    <row r="161" spans="1:15">
      <c r="A161" s="44"/>
      <c r="B161" s="44"/>
    </row>
    <row r="162" spans="1:15">
      <c r="A162" s="44"/>
      <c r="B162" s="44"/>
    </row>
    <row r="163" spans="1:15">
      <c r="A163" s="44"/>
      <c r="B163" s="44"/>
    </row>
    <row r="164" spans="1:15">
      <c r="A164" s="44"/>
      <c r="B164" s="44"/>
    </row>
    <row r="165" spans="1:15">
      <c r="A165" s="44"/>
      <c r="B165" s="44"/>
      <c r="C165" s="2">
        <v>50</v>
      </c>
      <c r="D165" s="2">
        <v>50</v>
      </c>
      <c r="F165" s="2">
        <v>1</v>
      </c>
      <c r="G165" s="2" t="s">
        <v>40</v>
      </c>
      <c r="H165" s="2" t="s">
        <v>41</v>
      </c>
      <c r="I165" s="2" t="s">
        <v>42</v>
      </c>
      <c r="J165" s="2" t="s">
        <v>43</v>
      </c>
      <c r="K165" s="2" t="s">
        <v>44</v>
      </c>
      <c r="L165" s="2" t="s">
        <v>45</v>
      </c>
      <c r="M165" s="2" t="s">
        <v>46</v>
      </c>
      <c r="O165" s="2" t="s">
        <v>47</v>
      </c>
    </row>
    <row r="166" spans="1:15">
      <c r="A166" s="44"/>
      <c r="B166" s="44"/>
      <c r="C166" s="2">
        <v>50</v>
      </c>
      <c r="D166" s="2">
        <v>50</v>
      </c>
      <c r="F166" s="2">
        <v>2</v>
      </c>
      <c r="G166" s="2" t="s">
        <v>48</v>
      </c>
      <c r="H166" s="2" t="s">
        <v>49</v>
      </c>
      <c r="I166" s="2" t="s">
        <v>50</v>
      </c>
      <c r="J166" s="2" t="s">
        <v>43</v>
      </c>
      <c r="K166" s="2" t="s">
        <v>44</v>
      </c>
      <c r="L166" s="2" t="s">
        <v>51</v>
      </c>
      <c r="M166" s="2" t="s">
        <v>52</v>
      </c>
      <c r="O166" s="2" t="s">
        <v>53</v>
      </c>
    </row>
    <row r="167" spans="1:15">
      <c r="A167" s="44"/>
      <c r="B167" s="44"/>
      <c r="C167" s="2">
        <v>54</v>
      </c>
      <c r="D167" s="2">
        <v>54</v>
      </c>
      <c r="F167" s="2">
        <v>1</v>
      </c>
      <c r="G167" s="2" t="s">
        <v>54</v>
      </c>
      <c r="H167" s="2" t="s">
        <v>55</v>
      </c>
      <c r="I167" s="2" t="s">
        <v>56</v>
      </c>
      <c r="J167" s="2" t="s">
        <v>57</v>
      </c>
      <c r="K167" s="2" t="s">
        <v>58</v>
      </c>
      <c r="L167" s="2" t="s">
        <v>59</v>
      </c>
      <c r="M167" s="2" t="s">
        <v>60</v>
      </c>
      <c r="O167" s="2" t="s">
        <v>61</v>
      </c>
    </row>
    <row r="168" spans="1:15">
      <c r="A168" s="44"/>
      <c r="B168" s="44"/>
      <c r="C168" s="2">
        <v>54</v>
      </c>
      <c r="D168" s="2">
        <v>54</v>
      </c>
      <c r="F168" s="2">
        <v>2</v>
      </c>
      <c r="G168" s="2" t="s">
        <v>62</v>
      </c>
      <c r="H168" s="2" t="s">
        <v>63</v>
      </c>
      <c r="I168" s="2" t="s">
        <v>64</v>
      </c>
      <c r="J168" s="2" t="s">
        <v>43</v>
      </c>
      <c r="K168" s="2" t="s">
        <v>65</v>
      </c>
      <c r="L168" s="2" t="s">
        <v>66</v>
      </c>
      <c r="M168" s="2" t="s">
        <v>67</v>
      </c>
      <c r="O168" s="2" t="s">
        <v>68</v>
      </c>
    </row>
    <row r="169" spans="1:15">
      <c r="A169" s="44"/>
      <c r="B169" s="44"/>
      <c r="C169" s="2">
        <v>54</v>
      </c>
      <c r="D169" s="2">
        <v>54</v>
      </c>
      <c r="F169" s="2">
        <v>3</v>
      </c>
      <c r="G169" s="2" t="s">
        <v>69</v>
      </c>
      <c r="H169" s="2" t="s">
        <v>70</v>
      </c>
      <c r="I169" s="2" t="s">
        <v>71</v>
      </c>
      <c r="J169" s="2" t="s">
        <v>43</v>
      </c>
      <c r="K169" s="2" t="s">
        <v>44</v>
      </c>
      <c r="L169" s="2" t="s">
        <v>72</v>
      </c>
      <c r="M169" s="2" t="s">
        <v>73</v>
      </c>
      <c r="O169" s="2" t="s">
        <v>74</v>
      </c>
    </row>
    <row r="170" spans="1:15">
      <c r="A170" s="44"/>
      <c r="B170" s="44"/>
      <c r="C170" s="2">
        <v>54</v>
      </c>
      <c r="D170" s="2">
        <v>54</v>
      </c>
      <c r="F170" s="2">
        <v>4</v>
      </c>
      <c r="G170" s="2" t="s">
        <v>75</v>
      </c>
      <c r="H170" s="2" t="s">
        <v>76</v>
      </c>
      <c r="I170" s="2" t="s">
        <v>77</v>
      </c>
      <c r="J170" s="2" t="s">
        <v>43</v>
      </c>
      <c r="K170" s="2" t="s">
        <v>44</v>
      </c>
      <c r="L170" s="2" t="s">
        <v>51</v>
      </c>
      <c r="M170" s="2" t="s">
        <v>52</v>
      </c>
      <c r="O170" s="2" t="s">
        <v>78</v>
      </c>
    </row>
    <row r="171" spans="1:15">
      <c r="A171" s="44"/>
      <c r="B171" s="44"/>
      <c r="C171" s="2">
        <v>54</v>
      </c>
      <c r="D171" s="2">
        <v>54</v>
      </c>
      <c r="F171" s="2">
        <v>5</v>
      </c>
      <c r="G171" s="2" t="s">
        <v>79</v>
      </c>
      <c r="H171" s="2" t="s">
        <v>80</v>
      </c>
      <c r="I171" s="2" t="s">
        <v>81</v>
      </c>
      <c r="J171" s="2" t="s">
        <v>43</v>
      </c>
      <c r="K171" s="2" t="s">
        <v>44</v>
      </c>
      <c r="L171" s="2" t="s">
        <v>82</v>
      </c>
      <c r="M171" s="2" t="s">
        <v>52</v>
      </c>
      <c r="O171" s="2" t="s">
        <v>83</v>
      </c>
    </row>
    <row r="172" spans="1:15">
      <c r="A172" s="44"/>
      <c r="B172" s="44"/>
      <c r="C172" s="2">
        <v>54</v>
      </c>
      <c r="D172" s="2">
        <v>54</v>
      </c>
      <c r="F172" s="2">
        <v>6</v>
      </c>
      <c r="G172" s="2" t="s">
        <v>84</v>
      </c>
      <c r="H172" s="2" t="s">
        <v>85</v>
      </c>
      <c r="I172" s="2" t="s">
        <v>86</v>
      </c>
      <c r="J172" s="2" t="s">
        <v>43</v>
      </c>
      <c r="K172" s="2" t="s">
        <v>44</v>
      </c>
      <c r="L172" s="2" t="s">
        <v>87</v>
      </c>
      <c r="M172" s="2" t="s">
        <v>88</v>
      </c>
      <c r="O172" s="2" t="s">
        <v>89</v>
      </c>
    </row>
    <row r="173" spans="1:15">
      <c r="A173" s="44"/>
      <c r="B173" s="44"/>
      <c r="C173" s="2">
        <v>59</v>
      </c>
      <c r="D173" s="2">
        <v>59</v>
      </c>
      <c r="F173" s="2">
        <v>2</v>
      </c>
      <c r="G173" s="2" t="s">
        <v>90</v>
      </c>
      <c r="H173" s="2" t="s">
        <v>91</v>
      </c>
      <c r="I173" s="2" t="s">
        <v>92</v>
      </c>
      <c r="J173" s="2" t="s">
        <v>43</v>
      </c>
      <c r="K173" s="2" t="s">
        <v>65</v>
      </c>
      <c r="L173" s="2" t="s">
        <v>93</v>
      </c>
      <c r="M173" s="2" t="s">
        <v>67</v>
      </c>
      <c r="O173" s="2" t="s">
        <v>94</v>
      </c>
    </row>
    <row r="174" spans="1:15">
      <c r="A174" s="44"/>
      <c r="B174" s="44"/>
      <c r="C174" s="2">
        <v>59</v>
      </c>
      <c r="D174" s="2">
        <v>59</v>
      </c>
      <c r="F174" s="2">
        <v>4</v>
      </c>
      <c r="G174" s="2" t="s">
        <v>95</v>
      </c>
      <c r="H174" s="2" t="s">
        <v>96</v>
      </c>
      <c r="I174" s="2" t="s">
        <v>97</v>
      </c>
      <c r="J174" s="2" t="s">
        <v>43</v>
      </c>
      <c r="K174" s="2" t="s">
        <v>44</v>
      </c>
      <c r="L174" s="2" t="s">
        <v>98</v>
      </c>
      <c r="M174" s="2" t="s">
        <v>46</v>
      </c>
      <c r="O174" s="2" t="s">
        <v>99</v>
      </c>
    </row>
    <row r="175" spans="1:15">
      <c r="A175" s="44"/>
      <c r="B175" s="44"/>
      <c r="C175" s="2">
        <v>59</v>
      </c>
      <c r="D175" s="2">
        <v>59</v>
      </c>
      <c r="F175" s="2">
        <v>5</v>
      </c>
      <c r="G175" s="2" t="s">
        <v>100</v>
      </c>
      <c r="H175" s="2" t="s">
        <v>101</v>
      </c>
      <c r="I175" s="2" t="s">
        <v>102</v>
      </c>
      <c r="J175" s="2" t="s">
        <v>43</v>
      </c>
      <c r="K175" s="2" t="s">
        <v>44</v>
      </c>
      <c r="L175" s="2" t="s">
        <v>103</v>
      </c>
      <c r="M175" s="2" t="s">
        <v>52</v>
      </c>
      <c r="O175" s="2" t="s">
        <v>78</v>
      </c>
    </row>
    <row r="176" spans="1:15">
      <c r="A176" s="44"/>
      <c r="B176" s="44"/>
      <c r="C176" s="2">
        <v>59</v>
      </c>
      <c r="D176" s="2">
        <v>59</v>
      </c>
      <c r="F176" s="2">
        <v>3</v>
      </c>
      <c r="G176" s="2" t="s">
        <v>104</v>
      </c>
      <c r="H176" s="2" t="s">
        <v>105</v>
      </c>
      <c r="I176" s="2" t="s">
        <v>106</v>
      </c>
      <c r="J176" s="2" t="s">
        <v>43</v>
      </c>
      <c r="K176" s="2" t="s">
        <v>44</v>
      </c>
      <c r="L176" s="2" t="s">
        <v>107</v>
      </c>
      <c r="M176" s="2" t="s">
        <v>52</v>
      </c>
      <c r="O176" s="2" t="s">
        <v>108</v>
      </c>
    </row>
    <row r="177" spans="1:15">
      <c r="A177" s="44"/>
      <c r="B177" s="44"/>
      <c r="C177" s="2">
        <v>59</v>
      </c>
      <c r="D177" s="2">
        <v>59</v>
      </c>
      <c r="F177" s="2">
        <v>1</v>
      </c>
      <c r="G177" s="2" t="s">
        <v>109</v>
      </c>
      <c r="H177" s="2" t="s">
        <v>110</v>
      </c>
      <c r="I177" s="2" t="s">
        <v>111</v>
      </c>
      <c r="J177" s="2" t="s">
        <v>57</v>
      </c>
      <c r="K177" s="2" t="s">
        <v>44</v>
      </c>
      <c r="L177" s="2" t="s">
        <v>51</v>
      </c>
      <c r="M177" s="2" t="s">
        <v>52</v>
      </c>
      <c r="O177" s="2" t="s">
        <v>112</v>
      </c>
    </row>
    <row r="178" spans="1:15">
      <c r="A178" s="44"/>
      <c r="B178" s="44"/>
      <c r="C178" s="2">
        <v>65</v>
      </c>
      <c r="D178" s="2">
        <v>65</v>
      </c>
      <c r="F178" s="2">
        <v>1</v>
      </c>
      <c r="G178" s="2" t="s">
        <v>113</v>
      </c>
      <c r="H178" s="2" t="s">
        <v>114</v>
      </c>
      <c r="I178" s="2" t="s">
        <v>115</v>
      </c>
      <c r="J178" s="2" t="s">
        <v>43</v>
      </c>
      <c r="K178" s="2" t="s">
        <v>44</v>
      </c>
      <c r="L178" s="2" t="s">
        <v>103</v>
      </c>
      <c r="M178" s="2" t="s">
        <v>52</v>
      </c>
      <c r="O178" s="2" t="s">
        <v>116</v>
      </c>
    </row>
    <row r="179" spans="1:15">
      <c r="A179" s="44"/>
      <c r="B179" s="44"/>
      <c r="C179" s="2">
        <v>65</v>
      </c>
      <c r="D179" s="2">
        <v>65</v>
      </c>
      <c r="F179" s="2">
        <v>2</v>
      </c>
      <c r="G179" s="2" t="s">
        <v>117</v>
      </c>
      <c r="H179" s="2" t="s">
        <v>118</v>
      </c>
      <c r="I179" s="2" t="s">
        <v>119</v>
      </c>
      <c r="J179" s="2" t="s">
        <v>43</v>
      </c>
      <c r="K179" s="2" t="s">
        <v>44</v>
      </c>
      <c r="L179" s="2" t="s">
        <v>103</v>
      </c>
      <c r="M179" s="2" t="s">
        <v>52</v>
      </c>
      <c r="O179" s="2" t="s">
        <v>120</v>
      </c>
    </row>
    <row r="180" spans="1:15">
      <c r="A180" s="44"/>
      <c r="B180" s="44"/>
      <c r="C180" s="2">
        <v>65</v>
      </c>
      <c r="D180" s="2">
        <v>65</v>
      </c>
      <c r="F180" s="2">
        <v>3</v>
      </c>
      <c r="G180" s="2" t="s">
        <v>121</v>
      </c>
      <c r="H180" s="2" t="s">
        <v>122</v>
      </c>
      <c r="I180" s="2" t="s">
        <v>123</v>
      </c>
      <c r="J180" s="2" t="s">
        <v>43</v>
      </c>
      <c r="K180" s="2" t="s">
        <v>44</v>
      </c>
      <c r="L180" s="2" t="s">
        <v>124</v>
      </c>
      <c r="M180" s="2" t="s">
        <v>46</v>
      </c>
      <c r="O180" s="2" t="s">
        <v>125</v>
      </c>
    </row>
    <row r="181" spans="1:15">
      <c r="A181" s="44"/>
      <c r="B181" s="44"/>
      <c r="C181" s="2">
        <v>80</v>
      </c>
      <c r="D181" s="2">
        <v>80</v>
      </c>
      <c r="F181" s="2">
        <v>1</v>
      </c>
      <c r="G181" s="2" t="s">
        <v>126</v>
      </c>
      <c r="H181" s="2" t="s">
        <v>127</v>
      </c>
      <c r="I181" s="2" t="s">
        <v>128</v>
      </c>
      <c r="J181" s="2" t="s">
        <v>43</v>
      </c>
      <c r="K181" s="2" t="s">
        <v>44</v>
      </c>
      <c r="L181" s="2" t="s">
        <v>51</v>
      </c>
      <c r="M181" s="2" t="s">
        <v>52</v>
      </c>
      <c r="O181" s="2" t="s">
        <v>129</v>
      </c>
    </row>
    <row r="182" spans="1:15">
      <c r="A182" s="44"/>
      <c r="B182" s="44"/>
      <c r="C182" s="2" t="s">
        <v>130</v>
      </c>
      <c r="D182" s="2">
        <v>81</v>
      </c>
      <c r="F182" s="2">
        <v>1</v>
      </c>
      <c r="G182" s="2" t="s">
        <v>131</v>
      </c>
      <c r="H182" s="2" t="s">
        <v>132</v>
      </c>
      <c r="I182" s="2" t="s">
        <v>133</v>
      </c>
      <c r="J182" s="2" t="s">
        <v>43</v>
      </c>
      <c r="K182" s="2" t="s">
        <v>44</v>
      </c>
      <c r="L182" s="2" t="s">
        <v>107</v>
      </c>
      <c r="M182" s="2" t="s">
        <v>52</v>
      </c>
      <c r="O182" s="2" t="s">
        <v>134</v>
      </c>
    </row>
    <row r="183" spans="1:15">
      <c r="A183" s="44"/>
      <c r="B183" s="44"/>
      <c r="C183" s="2">
        <v>58</v>
      </c>
      <c r="D183" s="2">
        <v>58</v>
      </c>
      <c r="F183" s="2">
        <v>1</v>
      </c>
      <c r="G183" s="2" t="s">
        <v>135</v>
      </c>
      <c r="H183" s="2" t="s">
        <v>136</v>
      </c>
      <c r="I183" s="2" t="s">
        <v>137</v>
      </c>
      <c r="J183" s="2" t="s">
        <v>57</v>
      </c>
      <c r="K183" s="2" t="s">
        <v>44</v>
      </c>
      <c r="L183" s="2" t="s">
        <v>87</v>
      </c>
      <c r="M183" s="2" t="s">
        <v>88</v>
      </c>
      <c r="O183" s="2" t="s">
        <v>138</v>
      </c>
    </row>
    <row r="184" spans="1:15">
      <c r="A184" s="44"/>
      <c r="B184" s="44"/>
      <c r="C184" s="2">
        <v>58</v>
      </c>
      <c r="D184" s="2">
        <v>58</v>
      </c>
      <c r="F184" s="2">
        <v>2</v>
      </c>
      <c r="G184" s="2" t="s">
        <v>139</v>
      </c>
      <c r="H184" s="2" t="s">
        <v>140</v>
      </c>
      <c r="I184" s="2" t="s">
        <v>141</v>
      </c>
      <c r="J184" s="2" t="s">
        <v>57</v>
      </c>
      <c r="K184" s="2" t="s">
        <v>44</v>
      </c>
      <c r="L184" s="2" t="s">
        <v>142</v>
      </c>
      <c r="M184" s="2" t="s">
        <v>88</v>
      </c>
      <c r="O184" s="2" t="s">
        <v>138</v>
      </c>
    </row>
    <row r="185" spans="1:15">
      <c r="A185" s="44"/>
      <c r="B185" s="44"/>
      <c r="C185" s="2">
        <v>58</v>
      </c>
      <c r="D185" s="2">
        <v>58</v>
      </c>
      <c r="F185" s="2">
        <v>3</v>
      </c>
      <c r="G185" s="2" t="s">
        <v>143</v>
      </c>
      <c r="H185" s="2" t="s">
        <v>144</v>
      </c>
      <c r="I185" s="2" t="s">
        <v>145</v>
      </c>
      <c r="J185" s="2" t="s">
        <v>43</v>
      </c>
      <c r="K185" s="2" t="s">
        <v>44</v>
      </c>
      <c r="L185" s="2" t="s">
        <v>146</v>
      </c>
      <c r="M185" s="2" t="s">
        <v>88</v>
      </c>
      <c r="O185" s="2" t="s">
        <v>138</v>
      </c>
    </row>
    <row r="186" spans="1:15">
      <c r="A186" s="44"/>
      <c r="B186" s="44"/>
      <c r="C186" s="2">
        <v>58</v>
      </c>
      <c r="D186" s="2">
        <v>58</v>
      </c>
      <c r="F186" s="2">
        <v>4</v>
      </c>
      <c r="G186" s="2" t="s">
        <v>147</v>
      </c>
      <c r="H186" s="2" t="s">
        <v>148</v>
      </c>
      <c r="I186" s="2" t="s">
        <v>149</v>
      </c>
      <c r="J186" s="2" t="s">
        <v>43</v>
      </c>
      <c r="K186" s="2" t="s">
        <v>44</v>
      </c>
      <c r="L186" s="2" t="s">
        <v>150</v>
      </c>
      <c r="M186" s="2" t="s">
        <v>52</v>
      </c>
      <c r="O186" s="2" t="s">
        <v>151</v>
      </c>
    </row>
    <row r="187" spans="1:15">
      <c r="A187" s="44"/>
      <c r="B187" s="44"/>
      <c r="C187" s="2">
        <v>58</v>
      </c>
      <c r="D187" s="2">
        <v>58</v>
      </c>
      <c r="F187" s="2">
        <v>5</v>
      </c>
      <c r="G187" s="2" t="s">
        <v>152</v>
      </c>
      <c r="H187" s="2" t="s">
        <v>153</v>
      </c>
      <c r="I187" s="2" t="s">
        <v>154</v>
      </c>
      <c r="J187" s="2" t="s">
        <v>43</v>
      </c>
      <c r="K187" s="2" t="s">
        <v>155</v>
      </c>
      <c r="L187" s="2" t="s">
        <v>156</v>
      </c>
      <c r="M187" s="2" t="s">
        <v>157</v>
      </c>
      <c r="O187" s="2" t="s">
        <v>158</v>
      </c>
    </row>
    <row r="188" spans="1:15">
      <c r="A188" s="44"/>
      <c r="B188" s="44"/>
      <c r="C188" s="2">
        <v>58</v>
      </c>
      <c r="D188" s="2">
        <v>58</v>
      </c>
      <c r="F188" s="2">
        <v>6</v>
      </c>
      <c r="G188" s="2" t="s">
        <v>159</v>
      </c>
      <c r="H188" s="2" t="s">
        <v>160</v>
      </c>
      <c r="I188" s="2" t="s">
        <v>161</v>
      </c>
      <c r="J188" s="2" t="s">
        <v>43</v>
      </c>
      <c r="K188" s="2" t="s">
        <v>44</v>
      </c>
      <c r="L188" s="2" t="s">
        <v>162</v>
      </c>
      <c r="M188" s="2" t="s">
        <v>163</v>
      </c>
      <c r="O188" s="2" t="s">
        <v>164</v>
      </c>
    </row>
    <row r="189" spans="1:15">
      <c r="A189" s="44"/>
      <c r="B189" s="44"/>
      <c r="C189" s="2">
        <v>58</v>
      </c>
      <c r="D189" s="2">
        <v>58</v>
      </c>
      <c r="F189" s="2">
        <v>7</v>
      </c>
      <c r="G189" s="2" t="s">
        <v>165</v>
      </c>
      <c r="H189" s="2" t="s">
        <v>166</v>
      </c>
      <c r="I189" s="2" t="s">
        <v>167</v>
      </c>
      <c r="J189" s="2" t="s">
        <v>43</v>
      </c>
      <c r="K189" s="2" t="s">
        <v>44</v>
      </c>
      <c r="L189" s="2" t="s">
        <v>168</v>
      </c>
      <c r="M189" s="2" t="s">
        <v>169</v>
      </c>
      <c r="O189" s="2" t="s">
        <v>170</v>
      </c>
    </row>
    <row r="190" spans="1:15">
      <c r="A190" s="44"/>
      <c r="B190" s="44"/>
      <c r="C190" s="2">
        <v>58</v>
      </c>
      <c r="D190" s="2">
        <v>58</v>
      </c>
      <c r="F190" s="2">
        <v>8</v>
      </c>
      <c r="G190" s="2" t="s">
        <v>171</v>
      </c>
      <c r="H190" s="2" t="s">
        <v>172</v>
      </c>
      <c r="I190" s="2" t="s">
        <v>50</v>
      </c>
      <c r="J190" s="2" t="s">
        <v>43</v>
      </c>
      <c r="K190" s="2" t="s">
        <v>58</v>
      </c>
      <c r="L190" s="2" t="s">
        <v>173</v>
      </c>
      <c r="M190" s="2" t="s">
        <v>60</v>
      </c>
      <c r="O190" s="2" t="s">
        <v>174</v>
      </c>
    </row>
    <row r="191" spans="1:15">
      <c r="A191" s="44"/>
      <c r="B191" s="44"/>
      <c r="C191" s="2">
        <v>58</v>
      </c>
      <c r="D191" s="2">
        <v>58</v>
      </c>
      <c r="F191" s="2">
        <v>9</v>
      </c>
      <c r="G191" s="2" t="s">
        <v>175</v>
      </c>
      <c r="H191" s="2" t="s">
        <v>176</v>
      </c>
      <c r="I191" s="2" t="s">
        <v>177</v>
      </c>
      <c r="J191" s="2" t="s">
        <v>43</v>
      </c>
      <c r="K191" s="2" t="s">
        <v>44</v>
      </c>
      <c r="L191" s="2" t="s">
        <v>162</v>
      </c>
      <c r="M191" s="2" t="s">
        <v>163</v>
      </c>
      <c r="O191" s="2" t="s">
        <v>178</v>
      </c>
    </row>
    <row r="192" spans="1:15">
      <c r="A192" s="44"/>
      <c r="B192" s="44"/>
      <c r="C192" s="2">
        <v>58</v>
      </c>
      <c r="D192" s="2">
        <v>58</v>
      </c>
      <c r="F192" s="2">
        <v>10</v>
      </c>
      <c r="G192" s="2" t="s">
        <v>179</v>
      </c>
      <c r="H192" s="2" t="s">
        <v>180</v>
      </c>
      <c r="I192" s="2" t="s">
        <v>181</v>
      </c>
      <c r="J192" s="2" t="s">
        <v>43</v>
      </c>
      <c r="K192" s="2" t="s">
        <v>44</v>
      </c>
      <c r="L192" s="2" t="s">
        <v>103</v>
      </c>
      <c r="M192" s="2" t="s">
        <v>52</v>
      </c>
      <c r="O192" s="2" t="s">
        <v>182</v>
      </c>
    </row>
    <row r="193" spans="1:15">
      <c r="A193" s="44"/>
      <c r="B193" s="44"/>
      <c r="C193" s="2">
        <v>58</v>
      </c>
      <c r="D193" s="2">
        <v>58</v>
      </c>
      <c r="F193" s="2">
        <v>11</v>
      </c>
      <c r="G193" s="2" t="s">
        <v>183</v>
      </c>
      <c r="H193" s="2" t="s">
        <v>184</v>
      </c>
      <c r="I193" s="2" t="s">
        <v>185</v>
      </c>
      <c r="J193" s="2" t="s">
        <v>43</v>
      </c>
      <c r="K193" s="2" t="s">
        <v>44</v>
      </c>
      <c r="L193" s="2" t="s">
        <v>51</v>
      </c>
      <c r="M193" s="2" t="s">
        <v>52</v>
      </c>
      <c r="O193" s="2" t="s">
        <v>186</v>
      </c>
    </row>
    <row r="194" spans="1:15">
      <c r="A194" s="44"/>
      <c r="B194" s="44"/>
      <c r="C194" s="2">
        <v>58</v>
      </c>
      <c r="D194" s="2">
        <v>58</v>
      </c>
      <c r="F194" s="2">
        <v>12</v>
      </c>
      <c r="G194" s="2" t="s">
        <v>187</v>
      </c>
      <c r="H194" s="2" t="s">
        <v>188</v>
      </c>
      <c r="I194" s="2" t="s">
        <v>123</v>
      </c>
      <c r="J194" s="2" t="s">
        <v>43</v>
      </c>
      <c r="K194" s="2" t="s">
        <v>44</v>
      </c>
      <c r="L194" s="2" t="s">
        <v>87</v>
      </c>
      <c r="M194" s="2" t="s">
        <v>88</v>
      </c>
      <c r="O194" s="2" t="s">
        <v>189</v>
      </c>
    </row>
    <row r="195" spans="1:15">
      <c r="A195" s="44"/>
      <c r="B195" s="44"/>
      <c r="C195" s="2">
        <v>58</v>
      </c>
      <c r="D195" s="2">
        <v>58</v>
      </c>
      <c r="F195" s="2">
        <v>13</v>
      </c>
      <c r="G195" s="2" t="s">
        <v>190</v>
      </c>
      <c r="H195" s="2" t="s">
        <v>191</v>
      </c>
      <c r="I195" s="2" t="s">
        <v>192</v>
      </c>
      <c r="J195" s="2" t="s">
        <v>43</v>
      </c>
      <c r="K195" s="2" t="s">
        <v>44</v>
      </c>
      <c r="L195" s="2" t="s">
        <v>51</v>
      </c>
      <c r="M195" s="2" t="s">
        <v>52</v>
      </c>
      <c r="O195" s="2" t="s">
        <v>193</v>
      </c>
    </row>
    <row r="196" spans="1:15">
      <c r="A196" s="44"/>
      <c r="B196" s="44"/>
      <c r="C196" s="2">
        <v>58</v>
      </c>
      <c r="D196" s="2">
        <v>58</v>
      </c>
      <c r="F196" s="2">
        <v>14</v>
      </c>
      <c r="G196" s="2" t="s">
        <v>194</v>
      </c>
      <c r="H196" s="2" t="s">
        <v>195</v>
      </c>
      <c r="I196" s="2" t="s">
        <v>196</v>
      </c>
      <c r="J196" s="2" t="s">
        <v>43</v>
      </c>
      <c r="K196" s="2" t="s">
        <v>44</v>
      </c>
      <c r="L196" s="2" t="s">
        <v>51</v>
      </c>
      <c r="M196" s="2" t="s">
        <v>52</v>
      </c>
      <c r="O196" s="2" t="s">
        <v>197</v>
      </c>
    </row>
    <row r="197" spans="1:15">
      <c r="A197" s="44"/>
      <c r="B197" s="44"/>
      <c r="C197" s="2">
        <v>58</v>
      </c>
      <c r="D197" s="2">
        <v>58</v>
      </c>
      <c r="F197" s="2">
        <v>15</v>
      </c>
      <c r="G197" s="2" t="s">
        <v>198</v>
      </c>
      <c r="H197" s="2" t="s">
        <v>199</v>
      </c>
      <c r="I197" s="2" t="s">
        <v>200</v>
      </c>
      <c r="J197" s="2" t="s">
        <v>43</v>
      </c>
      <c r="K197" s="2" t="s">
        <v>44</v>
      </c>
      <c r="L197" s="2" t="s">
        <v>201</v>
      </c>
      <c r="M197" s="2" t="s">
        <v>202</v>
      </c>
      <c r="O197" s="2" t="s">
        <v>203</v>
      </c>
    </row>
    <row r="198" spans="1:15">
      <c r="A198" s="44"/>
      <c r="B198" s="44"/>
      <c r="C198" s="2">
        <v>58</v>
      </c>
      <c r="D198" s="2">
        <v>58</v>
      </c>
      <c r="F198" s="2">
        <v>16</v>
      </c>
      <c r="G198" s="2" t="s">
        <v>204</v>
      </c>
      <c r="H198" s="2" t="s">
        <v>205</v>
      </c>
      <c r="I198" s="2" t="s">
        <v>206</v>
      </c>
      <c r="J198" s="2" t="s">
        <v>57</v>
      </c>
      <c r="K198" s="2" t="s">
        <v>44</v>
      </c>
      <c r="L198" s="2" t="s">
        <v>107</v>
      </c>
      <c r="M198" s="2" t="s">
        <v>52</v>
      </c>
      <c r="O198" s="2" t="s">
        <v>207</v>
      </c>
    </row>
    <row r="199" spans="1:15">
      <c r="A199" s="44"/>
      <c r="B199" s="44"/>
      <c r="C199" s="2">
        <v>64</v>
      </c>
      <c r="D199" s="2">
        <v>64</v>
      </c>
      <c r="F199" s="2">
        <v>1</v>
      </c>
      <c r="G199" s="2" t="s">
        <v>208</v>
      </c>
      <c r="H199" s="2" t="s">
        <v>209</v>
      </c>
      <c r="I199" s="2" t="s">
        <v>210</v>
      </c>
      <c r="J199" s="2" t="s">
        <v>57</v>
      </c>
      <c r="K199" s="2" t="s">
        <v>44</v>
      </c>
      <c r="L199" s="2" t="s">
        <v>51</v>
      </c>
      <c r="M199" s="2" t="s">
        <v>52</v>
      </c>
      <c r="O199" s="2" t="s">
        <v>211</v>
      </c>
    </row>
    <row r="200" spans="1:15">
      <c r="A200" s="44"/>
      <c r="B200" s="44"/>
      <c r="C200" s="2">
        <v>64</v>
      </c>
      <c r="D200" s="2">
        <v>64</v>
      </c>
      <c r="F200" s="2">
        <v>2</v>
      </c>
      <c r="G200" s="2" t="s">
        <v>212</v>
      </c>
      <c r="H200" s="2" t="s">
        <v>213</v>
      </c>
      <c r="I200" s="2" t="s">
        <v>214</v>
      </c>
      <c r="J200" s="2" t="s">
        <v>57</v>
      </c>
      <c r="K200" s="2" t="s">
        <v>44</v>
      </c>
      <c r="L200" s="2" t="s">
        <v>45</v>
      </c>
      <c r="M200" s="2" t="s">
        <v>46</v>
      </c>
      <c r="O200" s="2" t="s">
        <v>215</v>
      </c>
    </row>
    <row r="201" spans="1:15">
      <c r="A201" s="44"/>
      <c r="B201" s="44"/>
      <c r="C201" s="2">
        <v>64</v>
      </c>
      <c r="D201" s="2">
        <v>64</v>
      </c>
      <c r="F201" s="2">
        <v>3</v>
      </c>
      <c r="G201" s="2" t="s">
        <v>216</v>
      </c>
      <c r="H201" s="2" t="s">
        <v>217</v>
      </c>
      <c r="I201" s="2" t="s">
        <v>218</v>
      </c>
      <c r="J201" s="2" t="s">
        <v>43</v>
      </c>
      <c r="K201" s="2" t="s">
        <v>65</v>
      </c>
      <c r="L201" s="2" t="s">
        <v>219</v>
      </c>
      <c r="M201" s="2" t="s">
        <v>220</v>
      </c>
      <c r="O201" s="2" t="s">
        <v>221</v>
      </c>
    </row>
    <row r="202" spans="1:15">
      <c r="A202" s="44"/>
      <c r="B202" s="44"/>
      <c r="C202" s="2">
        <v>64</v>
      </c>
      <c r="D202" s="2">
        <v>64</v>
      </c>
      <c r="F202" s="2">
        <v>4</v>
      </c>
      <c r="G202" s="2" t="s">
        <v>222</v>
      </c>
      <c r="H202" s="2" t="s">
        <v>223</v>
      </c>
      <c r="I202" s="2" t="s">
        <v>224</v>
      </c>
      <c r="J202" s="2" t="s">
        <v>43</v>
      </c>
      <c r="K202" s="2" t="s">
        <v>44</v>
      </c>
      <c r="L202" s="2" t="s">
        <v>103</v>
      </c>
      <c r="M202" s="2" t="s">
        <v>52</v>
      </c>
      <c r="O202" s="2" t="s">
        <v>225</v>
      </c>
    </row>
    <row r="203" spans="1:15">
      <c r="A203" s="44"/>
      <c r="B203" s="44"/>
      <c r="C203" s="2">
        <v>64</v>
      </c>
      <c r="D203" s="2">
        <v>64</v>
      </c>
      <c r="F203" s="2">
        <v>5</v>
      </c>
      <c r="G203" s="2" t="s">
        <v>226</v>
      </c>
      <c r="H203" s="2" t="s">
        <v>227</v>
      </c>
      <c r="I203" s="2" t="s">
        <v>228</v>
      </c>
      <c r="J203" s="2" t="s">
        <v>43</v>
      </c>
      <c r="K203" s="2" t="s">
        <v>44</v>
      </c>
      <c r="L203" s="2" t="s">
        <v>229</v>
      </c>
      <c r="M203" s="2" t="s">
        <v>52</v>
      </c>
      <c r="O203" s="2" t="s">
        <v>230</v>
      </c>
    </row>
    <row r="204" spans="1:15">
      <c r="A204" s="44"/>
      <c r="B204" s="44"/>
      <c r="C204" s="2">
        <v>64</v>
      </c>
      <c r="D204" s="2">
        <v>64</v>
      </c>
      <c r="F204" s="2">
        <v>6</v>
      </c>
      <c r="G204" s="2" t="s">
        <v>231</v>
      </c>
      <c r="H204" s="2" t="s">
        <v>232</v>
      </c>
      <c r="I204" s="2" t="s">
        <v>233</v>
      </c>
      <c r="J204" s="2" t="s">
        <v>43</v>
      </c>
      <c r="K204" s="2" t="s">
        <v>44</v>
      </c>
      <c r="L204" s="2" t="s">
        <v>234</v>
      </c>
      <c r="M204" s="2" t="s">
        <v>73</v>
      </c>
      <c r="O204" s="2" t="s">
        <v>235</v>
      </c>
    </row>
    <row r="205" spans="1:15">
      <c r="A205" s="44"/>
      <c r="B205" s="44"/>
      <c r="C205" s="2">
        <v>64</v>
      </c>
      <c r="D205" s="2">
        <v>64</v>
      </c>
      <c r="F205" s="2">
        <v>7</v>
      </c>
      <c r="G205" s="2" t="s">
        <v>236</v>
      </c>
      <c r="H205" s="2" t="s">
        <v>237</v>
      </c>
      <c r="I205" s="2" t="s">
        <v>238</v>
      </c>
      <c r="J205" s="2" t="s">
        <v>43</v>
      </c>
      <c r="K205" s="2" t="s">
        <v>44</v>
      </c>
      <c r="L205" s="2" t="s">
        <v>239</v>
      </c>
      <c r="M205" s="2" t="s">
        <v>52</v>
      </c>
      <c r="O205" s="2" t="s">
        <v>240</v>
      </c>
    </row>
    <row r="206" spans="1:15">
      <c r="A206" s="44"/>
      <c r="B206" s="44"/>
      <c r="C206" s="2">
        <v>64</v>
      </c>
      <c r="D206" s="2">
        <v>64</v>
      </c>
      <c r="F206" s="2">
        <v>8</v>
      </c>
      <c r="G206" s="2" t="s">
        <v>241</v>
      </c>
      <c r="H206" s="2" t="s">
        <v>242</v>
      </c>
      <c r="I206" s="2" t="s">
        <v>243</v>
      </c>
      <c r="J206" s="2" t="s">
        <v>43</v>
      </c>
      <c r="K206" s="2" t="s">
        <v>44</v>
      </c>
      <c r="L206" s="2" t="s">
        <v>244</v>
      </c>
      <c r="M206" s="2" t="s">
        <v>52</v>
      </c>
      <c r="O206" s="2" t="s">
        <v>245</v>
      </c>
    </row>
    <row r="207" spans="1:15">
      <c r="A207" s="44"/>
      <c r="B207" s="44"/>
      <c r="C207" s="2">
        <v>64</v>
      </c>
      <c r="D207" s="2">
        <v>64</v>
      </c>
      <c r="F207" s="2">
        <v>9</v>
      </c>
      <c r="G207" s="2" t="s">
        <v>246</v>
      </c>
      <c r="H207" s="2" t="s">
        <v>247</v>
      </c>
      <c r="I207" s="2" t="s">
        <v>248</v>
      </c>
      <c r="J207" s="2" t="s">
        <v>57</v>
      </c>
      <c r="K207" s="2" t="s">
        <v>44</v>
      </c>
      <c r="L207" s="2" t="s">
        <v>168</v>
      </c>
      <c r="M207" s="2" t="s">
        <v>169</v>
      </c>
      <c r="O207" s="2" t="s">
        <v>249</v>
      </c>
    </row>
    <row r="208" spans="1:15">
      <c r="A208" s="44"/>
      <c r="B208" s="44"/>
      <c r="C208" s="2">
        <v>64</v>
      </c>
      <c r="D208" s="2">
        <v>64</v>
      </c>
      <c r="F208" s="2">
        <v>10</v>
      </c>
      <c r="G208" s="2" t="s">
        <v>250</v>
      </c>
      <c r="H208" s="2" t="s">
        <v>251</v>
      </c>
      <c r="I208" s="2" t="s">
        <v>252</v>
      </c>
      <c r="J208" s="2" t="s">
        <v>43</v>
      </c>
      <c r="K208" s="2" t="s">
        <v>58</v>
      </c>
      <c r="L208" s="2" t="s">
        <v>173</v>
      </c>
      <c r="M208" s="2" t="s">
        <v>60</v>
      </c>
      <c r="O208" s="2" t="s">
        <v>253</v>
      </c>
    </row>
    <row r="209" spans="1:15">
      <c r="A209" s="44"/>
      <c r="B209" s="44"/>
      <c r="C209" s="2">
        <v>64</v>
      </c>
      <c r="D209" s="2">
        <v>64</v>
      </c>
      <c r="F209" s="2">
        <v>11</v>
      </c>
      <c r="G209" s="2" t="s">
        <v>254</v>
      </c>
      <c r="H209" s="2" t="s">
        <v>255</v>
      </c>
      <c r="I209" s="2" t="s">
        <v>256</v>
      </c>
      <c r="J209" s="2" t="s">
        <v>43</v>
      </c>
      <c r="K209" s="2" t="s">
        <v>44</v>
      </c>
      <c r="L209" s="2" t="s">
        <v>87</v>
      </c>
      <c r="M209" s="2" t="s">
        <v>88</v>
      </c>
      <c r="O209" s="2" t="s">
        <v>257</v>
      </c>
    </row>
    <row r="210" spans="1:15">
      <c r="A210" s="44"/>
      <c r="B210" s="44"/>
      <c r="C210" s="2">
        <v>64</v>
      </c>
      <c r="D210" s="2">
        <v>64</v>
      </c>
      <c r="F210" s="2">
        <v>12</v>
      </c>
      <c r="G210" s="2" t="s">
        <v>258</v>
      </c>
      <c r="H210" s="2" t="s">
        <v>259</v>
      </c>
      <c r="I210" s="2" t="s">
        <v>260</v>
      </c>
      <c r="J210" s="2" t="s">
        <v>43</v>
      </c>
      <c r="K210" s="2" t="s">
        <v>44</v>
      </c>
      <c r="L210" s="2" t="s">
        <v>239</v>
      </c>
      <c r="M210" s="2" t="s">
        <v>52</v>
      </c>
      <c r="O210" s="2" t="s">
        <v>261</v>
      </c>
    </row>
    <row r="211" spans="1:15">
      <c r="A211" s="44"/>
      <c r="B211" s="44"/>
      <c r="C211" s="2">
        <v>64</v>
      </c>
      <c r="D211" s="2">
        <v>64</v>
      </c>
      <c r="F211" s="2">
        <v>13</v>
      </c>
      <c r="G211" s="2" t="s">
        <v>262</v>
      </c>
      <c r="H211" s="2" t="s">
        <v>263</v>
      </c>
      <c r="I211" s="2" t="s">
        <v>264</v>
      </c>
      <c r="J211" s="2" t="s">
        <v>43</v>
      </c>
      <c r="K211" s="2" t="s">
        <v>265</v>
      </c>
      <c r="L211" s="2" t="s">
        <v>266</v>
      </c>
      <c r="M211" s="2" t="s">
        <v>267</v>
      </c>
      <c r="O211" s="2" t="s">
        <v>268</v>
      </c>
    </row>
    <row r="212" spans="1:15">
      <c r="A212" s="44"/>
      <c r="B212" s="44"/>
      <c r="C212" s="2">
        <v>64</v>
      </c>
      <c r="D212" s="2">
        <v>64</v>
      </c>
      <c r="F212" s="2">
        <v>14</v>
      </c>
      <c r="G212" s="2" t="s">
        <v>269</v>
      </c>
      <c r="H212" s="2" t="s">
        <v>270</v>
      </c>
      <c r="I212" s="2" t="s">
        <v>154</v>
      </c>
      <c r="J212" s="2" t="s">
        <v>43</v>
      </c>
      <c r="K212" s="2" t="s">
        <v>44</v>
      </c>
      <c r="L212" s="2" t="s">
        <v>82</v>
      </c>
      <c r="M212" s="2" t="s">
        <v>52</v>
      </c>
      <c r="O212" s="2" t="s">
        <v>271</v>
      </c>
    </row>
    <row r="213" spans="1:15">
      <c r="A213" s="44"/>
      <c r="B213" s="44"/>
      <c r="C213" s="2">
        <v>64</v>
      </c>
      <c r="D213" s="2">
        <v>64</v>
      </c>
      <c r="F213" s="2">
        <v>15</v>
      </c>
      <c r="G213" s="2" t="s">
        <v>272</v>
      </c>
      <c r="H213" s="2" t="s">
        <v>273</v>
      </c>
      <c r="I213" s="2" t="s">
        <v>274</v>
      </c>
      <c r="J213" s="2" t="s">
        <v>43</v>
      </c>
      <c r="K213" s="2" t="s">
        <v>58</v>
      </c>
      <c r="L213" s="2" t="s">
        <v>275</v>
      </c>
      <c r="M213" s="2" t="s">
        <v>60</v>
      </c>
      <c r="O213" s="2" t="s">
        <v>253</v>
      </c>
    </row>
    <row r="214" spans="1:15">
      <c r="A214" s="44"/>
      <c r="B214" s="44"/>
      <c r="C214" s="2">
        <v>64</v>
      </c>
      <c r="D214" s="2">
        <v>64</v>
      </c>
      <c r="F214" s="2">
        <v>16</v>
      </c>
      <c r="G214" s="2" t="s">
        <v>276</v>
      </c>
      <c r="H214" s="2" t="s">
        <v>277</v>
      </c>
      <c r="I214" s="2" t="s">
        <v>278</v>
      </c>
      <c r="J214" s="2" t="s">
        <v>57</v>
      </c>
      <c r="K214" s="2" t="s">
        <v>65</v>
      </c>
      <c r="L214" s="2" t="s">
        <v>219</v>
      </c>
      <c r="M214" s="2" t="s">
        <v>220</v>
      </c>
      <c r="O214" s="2" t="s">
        <v>279</v>
      </c>
    </row>
    <row r="215" spans="1:15">
      <c r="A215" s="44"/>
      <c r="B215" s="44"/>
      <c r="C215" s="2">
        <v>64</v>
      </c>
      <c r="D215" s="2">
        <v>64</v>
      </c>
      <c r="F215" s="2">
        <v>17</v>
      </c>
      <c r="G215" s="2" t="s">
        <v>280</v>
      </c>
      <c r="H215" s="2" t="s">
        <v>281</v>
      </c>
      <c r="I215" s="2" t="s">
        <v>282</v>
      </c>
      <c r="J215" s="2" t="s">
        <v>43</v>
      </c>
      <c r="K215" s="2" t="s">
        <v>58</v>
      </c>
      <c r="L215" s="2" t="s">
        <v>283</v>
      </c>
      <c r="M215" s="2" t="s">
        <v>60</v>
      </c>
      <c r="O215" s="2" t="s">
        <v>284</v>
      </c>
    </row>
    <row r="216" spans="1:15">
      <c r="A216" s="44"/>
      <c r="B216" s="44"/>
      <c r="C216" s="2">
        <v>64</v>
      </c>
      <c r="D216" s="2">
        <v>64</v>
      </c>
      <c r="F216" s="2">
        <v>18</v>
      </c>
      <c r="G216" s="2" t="s">
        <v>285</v>
      </c>
      <c r="H216" s="2" t="s">
        <v>286</v>
      </c>
      <c r="I216" s="2" t="s">
        <v>287</v>
      </c>
      <c r="J216" s="2" t="s">
        <v>43</v>
      </c>
      <c r="K216" s="2" t="s">
        <v>44</v>
      </c>
      <c r="L216" s="2" t="s">
        <v>51</v>
      </c>
      <c r="M216" s="2" t="s">
        <v>52</v>
      </c>
      <c r="O216" s="2" t="s">
        <v>288</v>
      </c>
    </row>
    <row r="217" spans="1:15">
      <c r="A217" s="44"/>
      <c r="B217" s="44"/>
      <c r="C217" s="2">
        <v>64</v>
      </c>
      <c r="D217" s="2">
        <v>64</v>
      </c>
      <c r="F217" s="2">
        <v>19</v>
      </c>
      <c r="G217" s="2" t="s">
        <v>289</v>
      </c>
      <c r="H217" s="2" t="s">
        <v>290</v>
      </c>
      <c r="I217" s="2" t="s">
        <v>291</v>
      </c>
      <c r="J217" s="2" t="s">
        <v>43</v>
      </c>
      <c r="K217" s="2" t="s">
        <v>44</v>
      </c>
      <c r="L217" s="2" t="s">
        <v>292</v>
      </c>
      <c r="M217" s="2" t="s">
        <v>52</v>
      </c>
      <c r="O217" s="2" t="s">
        <v>293</v>
      </c>
    </row>
    <row r="218" spans="1:15">
      <c r="A218" s="44"/>
      <c r="B218" s="44"/>
      <c r="C218" s="2">
        <v>64</v>
      </c>
      <c r="D218" s="2">
        <v>64</v>
      </c>
      <c r="F218" s="2">
        <v>20</v>
      </c>
      <c r="G218" s="2" t="s">
        <v>294</v>
      </c>
      <c r="H218" s="2" t="s">
        <v>295</v>
      </c>
      <c r="I218" s="2" t="s">
        <v>296</v>
      </c>
      <c r="J218" s="2" t="s">
        <v>57</v>
      </c>
      <c r="K218" s="2" t="s">
        <v>44</v>
      </c>
      <c r="L218" s="2" t="s">
        <v>297</v>
      </c>
      <c r="M218" s="2" t="s">
        <v>88</v>
      </c>
      <c r="O218" s="2" t="s">
        <v>298</v>
      </c>
    </row>
    <row r="219" spans="1:15">
      <c r="A219" s="44"/>
      <c r="B219" s="44"/>
      <c r="C219" s="2">
        <v>64</v>
      </c>
      <c r="D219" s="2">
        <v>64</v>
      </c>
      <c r="F219" s="2">
        <v>21</v>
      </c>
      <c r="G219" s="2" t="s">
        <v>299</v>
      </c>
      <c r="H219" s="2" t="s">
        <v>300</v>
      </c>
      <c r="I219" s="2" t="s">
        <v>301</v>
      </c>
      <c r="J219" s="2" t="s">
        <v>43</v>
      </c>
      <c r="K219" s="2" t="s">
        <v>44</v>
      </c>
      <c r="L219" s="2" t="s">
        <v>229</v>
      </c>
      <c r="M219" s="2" t="s">
        <v>52</v>
      </c>
      <c r="O219" s="2" t="s">
        <v>302</v>
      </c>
    </row>
    <row r="220" spans="1:15">
      <c r="A220" s="44"/>
      <c r="B220" s="44"/>
      <c r="C220" s="2">
        <v>64</v>
      </c>
      <c r="D220" s="2">
        <v>64</v>
      </c>
      <c r="F220" s="2">
        <v>22</v>
      </c>
      <c r="G220" s="2" t="s">
        <v>303</v>
      </c>
      <c r="H220" s="2" t="s">
        <v>304</v>
      </c>
      <c r="I220" s="2" t="s">
        <v>305</v>
      </c>
      <c r="J220" s="2" t="s">
        <v>43</v>
      </c>
      <c r="K220" s="2" t="s">
        <v>44</v>
      </c>
      <c r="L220" s="2" t="s">
        <v>87</v>
      </c>
      <c r="M220" s="2" t="s">
        <v>88</v>
      </c>
      <c r="O220" s="2" t="s">
        <v>306</v>
      </c>
    </row>
    <row r="221" spans="1:15">
      <c r="A221" s="44"/>
      <c r="B221" s="44"/>
      <c r="C221" s="2">
        <v>64</v>
      </c>
      <c r="D221" s="2">
        <v>64</v>
      </c>
      <c r="F221" s="2">
        <v>23</v>
      </c>
      <c r="G221" s="2" t="s">
        <v>307</v>
      </c>
      <c r="H221" s="2" t="s">
        <v>308</v>
      </c>
      <c r="I221" s="2" t="s">
        <v>309</v>
      </c>
      <c r="J221" s="2" t="s">
        <v>43</v>
      </c>
      <c r="K221" s="2" t="s">
        <v>44</v>
      </c>
      <c r="L221" s="2" t="s">
        <v>234</v>
      </c>
      <c r="M221" s="2" t="s">
        <v>73</v>
      </c>
      <c r="O221" s="2" t="s">
        <v>310</v>
      </c>
    </row>
    <row r="222" spans="1:15">
      <c r="A222" s="44"/>
      <c r="B222" s="44"/>
      <c r="C222" s="2">
        <v>64</v>
      </c>
      <c r="D222" s="2">
        <v>64</v>
      </c>
      <c r="F222" s="2">
        <v>24</v>
      </c>
      <c r="G222" s="2" t="s">
        <v>311</v>
      </c>
      <c r="H222" s="2" t="s">
        <v>312</v>
      </c>
      <c r="I222" s="2" t="s">
        <v>313</v>
      </c>
      <c r="J222" s="2" t="s">
        <v>43</v>
      </c>
      <c r="K222" s="2" t="s">
        <v>58</v>
      </c>
      <c r="L222" s="2" t="s">
        <v>275</v>
      </c>
      <c r="M222" s="2" t="s">
        <v>60</v>
      </c>
      <c r="O222" s="2" t="s">
        <v>314</v>
      </c>
    </row>
    <row r="223" spans="1:15">
      <c r="A223" s="44"/>
      <c r="B223" s="44"/>
      <c r="C223" s="2">
        <v>64</v>
      </c>
      <c r="D223" s="2">
        <v>64</v>
      </c>
      <c r="F223" s="2">
        <v>25</v>
      </c>
      <c r="G223" s="2" t="s">
        <v>315</v>
      </c>
      <c r="H223" s="2" t="s">
        <v>316</v>
      </c>
      <c r="I223" s="2" t="s">
        <v>317</v>
      </c>
      <c r="J223" s="2" t="s">
        <v>57</v>
      </c>
      <c r="K223" s="2" t="s">
        <v>44</v>
      </c>
      <c r="L223" s="2" t="s">
        <v>318</v>
      </c>
      <c r="M223" s="2" t="s">
        <v>88</v>
      </c>
      <c r="O223" s="2" t="s">
        <v>319</v>
      </c>
    </row>
    <row r="224" spans="1:15">
      <c r="A224" s="44"/>
      <c r="B224" s="44"/>
      <c r="C224" s="2">
        <v>71</v>
      </c>
      <c r="D224" s="2">
        <v>71</v>
      </c>
      <c r="F224" s="2">
        <v>1</v>
      </c>
      <c r="G224" s="2" t="s">
        <v>320</v>
      </c>
      <c r="H224" s="2" t="s">
        <v>321</v>
      </c>
      <c r="I224" s="2" t="s">
        <v>322</v>
      </c>
      <c r="J224" s="2" t="s">
        <v>43</v>
      </c>
      <c r="K224" s="2" t="s">
        <v>44</v>
      </c>
      <c r="L224" s="2" t="s">
        <v>323</v>
      </c>
      <c r="M224" s="2" t="s">
        <v>169</v>
      </c>
      <c r="O224" s="2" t="s">
        <v>324</v>
      </c>
    </row>
    <row r="225" spans="1:15">
      <c r="A225" s="44"/>
      <c r="B225" s="44"/>
      <c r="C225" s="2">
        <v>71</v>
      </c>
      <c r="D225" s="2">
        <v>71</v>
      </c>
      <c r="F225" s="2">
        <v>2</v>
      </c>
      <c r="G225" s="2" t="s">
        <v>325</v>
      </c>
      <c r="H225" s="2" t="s">
        <v>326</v>
      </c>
      <c r="I225" s="2" t="s">
        <v>327</v>
      </c>
      <c r="J225" s="2" t="s">
        <v>43</v>
      </c>
      <c r="K225" s="2" t="s">
        <v>44</v>
      </c>
      <c r="L225" s="2" t="s">
        <v>103</v>
      </c>
      <c r="M225" s="2" t="s">
        <v>52</v>
      </c>
      <c r="O225" s="2" t="s">
        <v>328</v>
      </c>
    </row>
    <row r="226" spans="1:15">
      <c r="A226" s="44"/>
      <c r="B226" s="44"/>
      <c r="C226" s="2">
        <v>71</v>
      </c>
      <c r="D226" s="2">
        <v>71</v>
      </c>
      <c r="F226" s="2">
        <v>3</v>
      </c>
      <c r="G226" s="2" t="s">
        <v>329</v>
      </c>
      <c r="H226" s="2" t="s">
        <v>330</v>
      </c>
      <c r="I226" s="2" t="s">
        <v>331</v>
      </c>
      <c r="J226" s="2" t="s">
        <v>43</v>
      </c>
      <c r="K226" s="2" t="s">
        <v>65</v>
      </c>
      <c r="L226" s="2" t="s">
        <v>219</v>
      </c>
      <c r="M226" s="2" t="s">
        <v>220</v>
      </c>
      <c r="O226" s="2" t="s">
        <v>279</v>
      </c>
    </row>
    <row r="227" spans="1:15">
      <c r="A227" s="44"/>
      <c r="B227" s="44"/>
      <c r="C227" s="2">
        <v>71</v>
      </c>
      <c r="D227" s="2">
        <v>71</v>
      </c>
      <c r="F227" s="2">
        <v>4</v>
      </c>
      <c r="G227" s="2" t="s">
        <v>332</v>
      </c>
      <c r="H227" s="2" t="s">
        <v>333</v>
      </c>
      <c r="I227" s="2" t="s">
        <v>334</v>
      </c>
      <c r="J227" s="2" t="s">
        <v>57</v>
      </c>
      <c r="K227" s="2" t="s">
        <v>265</v>
      </c>
      <c r="L227" s="2" t="s">
        <v>335</v>
      </c>
      <c r="M227" s="2" t="s">
        <v>336</v>
      </c>
      <c r="O227" s="2" t="s">
        <v>337</v>
      </c>
    </row>
    <row r="228" spans="1:15">
      <c r="A228" s="44"/>
      <c r="B228" s="44"/>
      <c r="C228" s="2">
        <v>71</v>
      </c>
      <c r="D228" s="2">
        <v>71</v>
      </c>
      <c r="F228" s="2">
        <v>5</v>
      </c>
      <c r="G228" s="2" t="s">
        <v>338</v>
      </c>
      <c r="H228" s="2" t="s">
        <v>339</v>
      </c>
      <c r="I228" s="2" t="s">
        <v>340</v>
      </c>
      <c r="J228" s="2" t="s">
        <v>43</v>
      </c>
      <c r="K228" s="2" t="s">
        <v>44</v>
      </c>
      <c r="L228" s="2" t="s">
        <v>239</v>
      </c>
      <c r="M228" s="2" t="s">
        <v>52</v>
      </c>
      <c r="O228" s="2" t="s">
        <v>240</v>
      </c>
    </row>
    <row r="229" spans="1:15">
      <c r="A229" s="44"/>
      <c r="B229" s="44"/>
      <c r="C229" s="2">
        <v>71</v>
      </c>
      <c r="D229" s="2">
        <v>71</v>
      </c>
      <c r="F229" s="2">
        <v>6</v>
      </c>
      <c r="G229" s="2" t="s">
        <v>341</v>
      </c>
      <c r="H229" s="2" t="s">
        <v>342</v>
      </c>
      <c r="I229" s="2" t="s">
        <v>343</v>
      </c>
      <c r="J229" s="2" t="s">
        <v>43</v>
      </c>
      <c r="K229" s="2" t="s">
        <v>44</v>
      </c>
      <c r="L229" s="2" t="s">
        <v>344</v>
      </c>
      <c r="M229" s="2" t="s">
        <v>52</v>
      </c>
      <c r="O229" s="2" t="s">
        <v>261</v>
      </c>
    </row>
    <row r="230" spans="1:15">
      <c r="A230" s="44"/>
      <c r="B230" s="44"/>
      <c r="C230" s="2">
        <v>71</v>
      </c>
      <c r="D230" s="2">
        <v>71</v>
      </c>
      <c r="F230" s="2">
        <v>7</v>
      </c>
      <c r="G230" s="2" t="s">
        <v>345</v>
      </c>
      <c r="H230" s="2" t="s">
        <v>346</v>
      </c>
      <c r="I230" s="2" t="s">
        <v>347</v>
      </c>
      <c r="J230" s="2" t="s">
        <v>43</v>
      </c>
      <c r="K230" s="2" t="s">
        <v>44</v>
      </c>
      <c r="L230" s="2" t="s">
        <v>239</v>
      </c>
      <c r="M230" s="2" t="s">
        <v>52</v>
      </c>
      <c r="O230" s="2" t="s">
        <v>348</v>
      </c>
    </row>
    <row r="231" spans="1:15">
      <c r="A231" s="44"/>
      <c r="B231" s="44"/>
      <c r="C231" s="2">
        <v>71</v>
      </c>
      <c r="D231" s="2">
        <v>71</v>
      </c>
      <c r="F231" s="2">
        <v>8</v>
      </c>
      <c r="G231" s="2" t="s">
        <v>349</v>
      </c>
      <c r="H231" s="2" t="s">
        <v>350</v>
      </c>
      <c r="I231" s="2" t="s">
        <v>351</v>
      </c>
      <c r="J231" s="2" t="s">
        <v>57</v>
      </c>
      <c r="K231" s="2" t="s">
        <v>58</v>
      </c>
      <c r="L231" s="2" t="s">
        <v>352</v>
      </c>
      <c r="M231" s="2" t="s">
        <v>353</v>
      </c>
      <c r="O231" s="2" t="s">
        <v>354</v>
      </c>
    </row>
    <row r="232" spans="1:15">
      <c r="A232" s="44"/>
      <c r="B232" s="44"/>
      <c r="C232" s="2">
        <v>71</v>
      </c>
      <c r="D232" s="2">
        <v>71</v>
      </c>
      <c r="F232" s="2">
        <v>9</v>
      </c>
      <c r="G232" s="2" t="s">
        <v>355</v>
      </c>
      <c r="H232" s="2" t="s">
        <v>356</v>
      </c>
      <c r="I232" s="2" t="s">
        <v>357</v>
      </c>
      <c r="J232" s="2" t="s">
        <v>57</v>
      </c>
      <c r="K232" s="2" t="s">
        <v>44</v>
      </c>
      <c r="L232" s="2" t="s">
        <v>51</v>
      </c>
      <c r="M232" s="2" t="s">
        <v>52</v>
      </c>
      <c r="O232" s="2" t="s">
        <v>358</v>
      </c>
    </row>
    <row r="233" spans="1:15">
      <c r="A233" s="44"/>
      <c r="B233" s="44"/>
      <c r="C233" s="2">
        <v>71</v>
      </c>
      <c r="D233" s="2">
        <v>71</v>
      </c>
      <c r="F233" s="2">
        <v>10</v>
      </c>
      <c r="G233" s="2" t="s">
        <v>359</v>
      </c>
      <c r="H233" s="2" t="s">
        <v>360</v>
      </c>
      <c r="I233" s="2" t="s">
        <v>361</v>
      </c>
      <c r="J233" s="2" t="s">
        <v>43</v>
      </c>
      <c r="K233" s="2" t="s">
        <v>44</v>
      </c>
      <c r="L233" s="2" t="s">
        <v>82</v>
      </c>
      <c r="M233" s="2" t="s">
        <v>52</v>
      </c>
      <c r="O233" s="2" t="s">
        <v>362</v>
      </c>
    </row>
    <row r="234" spans="1:15">
      <c r="A234" s="44"/>
      <c r="B234" s="44"/>
      <c r="C234" s="2">
        <v>71</v>
      </c>
      <c r="D234" s="2">
        <v>71</v>
      </c>
      <c r="F234" s="2">
        <v>11</v>
      </c>
      <c r="G234" s="2" t="s">
        <v>363</v>
      </c>
      <c r="H234" s="2" t="s">
        <v>364</v>
      </c>
      <c r="I234" s="2" t="s">
        <v>365</v>
      </c>
      <c r="J234" s="2" t="s">
        <v>43</v>
      </c>
      <c r="K234" s="2" t="s">
        <v>44</v>
      </c>
      <c r="L234" s="2" t="s">
        <v>82</v>
      </c>
      <c r="M234" s="2" t="s">
        <v>52</v>
      </c>
      <c r="O234" s="2" t="s">
        <v>366</v>
      </c>
    </row>
    <row r="235" spans="1:15">
      <c r="A235" s="44"/>
      <c r="B235" s="44"/>
      <c r="C235" s="2">
        <v>71</v>
      </c>
      <c r="D235" s="2">
        <v>71</v>
      </c>
      <c r="F235" s="2">
        <v>12</v>
      </c>
      <c r="G235" s="2" t="s">
        <v>367</v>
      </c>
      <c r="H235" s="2" t="s">
        <v>368</v>
      </c>
      <c r="I235" s="2" t="s">
        <v>369</v>
      </c>
      <c r="J235" s="2" t="s">
        <v>43</v>
      </c>
      <c r="K235" s="2" t="s">
        <v>44</v>
      </c>
      <c r="L235" s="2" t="s">
        <v>344</v>
      </c>
      <c r="M235" s="2" t="s">
        <v>52</v>
      </c>
      <c r="O235" s="2" t="s">
        <v>370</v>
      </c>
    </row>
    <row r="236" spans="1:15">
      <c r="A236" s="44"/>
      <c r="B236" s="44"/>
      <c r="C236" s="2">
        <v>71</v>
      </c>
      <c r="D236" s="2">
        <v>71</v>
      </c>
      <c r="F236" s="2">
        <v>13</v>
      </c>
      <c r="G236" s="2" t="s">
        <v>371</v>
      </c>
      <c r="H236" s="2" t="s">
        <v>372</v>
      </c>
      <c r="I236" s="2" t="s">
        <v>373</v>
      </c>
      <c r="J236" s="2" t="s">
        <v>57</v>
      </c>
      <c r="K236" s="2" t="s">
        <v>65</v>
      </c>
      <c r="L236" s="2" t="s">
        <v>219</v>
      </c>
      <c r="M236" s="2" t="s">
        <v>220</v>
      </c>
      <c r="O236" s="2" t="s">
        <v>374</v>
      </c>
    </row>
    <row r="237" spans="1:15">
      <c r="A237" s="44"/>
      <c r="B237" s="44"/>
      <c r="C237" s="2">
        <v>71</v>
      </c>
      <c r="D237" s="2">
        <v>71</v>
      </c>
      <c r="F237" s="2">
        <v>14</v>
      </c>
      <c r="G237" s="2" t="s">
        <v>375</v>
      </c>
      <c r="H237" s="2" t="s">
        <v>376</v>
      </c>
      <c r="I237" s="2" t="s">
        <v>377</v>
      </c>
      <c r="J237" s="2" t="s">
        <v>57</v>
      </c>
      <c r="K237" s="2" t="s">
        <v>65</v>
      </c>
      <c r="L237" s="2" t="s">
        <v>378</v>
      </c>
      <c r="M237" s="2" t="s">
        <v>220</v>
      </c>
      <c r="O237" s="2" t="s">
        <v>279</v>
      </c>
    </row>
    <row r="238" spans="1:15">
      <c r="A238" s="44"/>
      <c r="B238" s="44"/>
      <c r="C238" s="2">
        <v>71</v>
      </c>
      <c r="D238" s="2">
        <v>71</v>
      </c>
      <c r="F238" s="2">
        <v>15</v>
      </c>
      <c r="G238" s="2" t="s">
        <v>379</v>
      </c>
      <c r="H238" s="2" t="s">
        <v>380</v>
      </c>
      <c r="I238" s="2" t="s">
        <v>381</v>
      </c>
      <c r="J238" s="2" t="s">
        <v>57</v>
      </c>
      <c r="K238" s="2" t="s">
        <v>44</v>
      </c>
      <c r="L238" s="2" t="s">
        <v>51</v>
      </c>
      <c r="M238" s="2" t="s">
        <v>52</v>
      </c>
      <c r="O238" s="2" t="s">
        <v>382</v>
      </c>
    </row>
    <row r="239" spans="1:15">
      <c r="A239" s="44"/>
      <c r="B239" s="44"/>
      <c r="C239" s="2">
        <v>71</v>
      </c>
      <c r="D239" s="2">
        <v>71</v>
      </c>
      <c r="F239" s="2">
        <v>16</v>
      </c>
      <c r="G239" s="2" t="s">
        <v>383</v>
      </c>
      <c r="H239" s="2" t="s">
        <v>384</v>
      </c>
      <c r="I239" s="2" t="s">
        <v>385</v>
      </c>
      <c r="J239" s="2" t="s">
        <v>57</v>
      </c>
      <c r="K239" s="2" t="s">
        <v>44</v>
      </c>
      <c r="L239" s="2" t="s">
        <v>51</v>
      </c>
      <c r="M239" s="2" t="s">
        <v>52</v>
      </c>
      <c r="O239" s="2" t="s">
        <v>382</v>
      </c>
    </row>
    <row r="240" spans="1:15">
      <c r="A240" s="44"/>
      <c r="B240" s="44"/>
      <c r="C240" s="2">
        <v>71</v>
      </c>
      <c r="D240" s="2">
        <v>71</v>
      </c>
      <c r="F240" s="2">
        <v>17</v>
      </c>
      <c r="G240" s="2" t="s">
        <v>386</v>
      </c>
      <c r="H240" s="2" t="s">
        <v>387</v>
      </c>
      <c r="I240" s="2" t="s">
        <v>388</v>
      </c>
      <c r="J240" s="2" t="s">
        <v>57</v>
      </c>
      <c r="K240" s="2" t="s">
        <v>44</v>
      </c>
      <c r="L240" s="2" t="s">
        <v>229</v>
      </c>
      <c r="M240" s="2" t="s">
        <v>52</v>
      </c>
      <c r="O240" s="2" t="s">
        <v>389</v>
      </c>
    </row>
    <row r="241" spans="1:15">
      <c r="A241" s="44"/>
      <c r="B241" s="44"/>
      <c r="C241" s="2">
        <v>71</v>
      </c>
      <c r="D241" s="2">
        <v>71</v>
      </c>
      <c r="F241" s="2">
        <v>18</v>
      </c>
      <c r="G241" s="2" t="s">
        <v>390</v>
      </c>
      <c r="H241" s="2" t="s">
        <v>391</v>
      </c>
      <c r="I241" s="2" t="s">
        <v>392</v>
      </c>
      <c r="J241" s="2" t="s">
        <v>57</v>
      </c>
      <c r="K241" s="2" t="s">
        <v>44</v>
      </c>
      <c r="L241" s="2" t="s">
        <v>45</v>
      </c>
      <c r="M241" s="2" t="s">
        <v>46</v>
      </c>
      <c r="O241" s="2" t="s">
        <v>393</v>
      </c>
    </row>
    <row r="242" spans="1:15">
      <c r="A242" s="44"/>
      <c r="B242" s="44"/>
      <c r="C242" s="2">
        <v>71</v>
      </c>
      <c r="D242" s="2">
        <v>71</v>
      </c>
      <c r="F242" s="2">
        <v>19</v>
      </c>
      <c r="G242" s="2" t="s">
        <v>394</v>
      </c>
      <c r="H242" s="2" t="s">
        <v>395</v>
      </c>
      <c r="I242" s="2" t="s">
        <v>396</v>
      </c>
      <c r="J242" s="2" t="s">
        <v>57</v>
      </c>
      <c r="K242" s="2" t="s">
        <v>44</v>
      </c>
      <c r="L242" s="2" t="s">
        <v>397</v>
      </c>
      <c r="M242" s="2" t="s">
        <v>398</v>
      </c>
      <c r="O242" s="2" t="s">
        <v>399</v>
      </c>
    </row>
    <row r="243" spans="1:15">
      <c r="A243" s="44"/>
      <c r="B243" s="44"/>
      <c r="C243" s="2">
        <v>71</v>
      </c>
      <c r="D243" s="2">
        <v>71</v>
      </c>
      <c r="F243" s="2">
        <v>20</v>
      </c>
      <c r="G243" s="2" t="s">
        <v>400</v>
      </c>
      <c r="H243" s="2" t="s">
        <v>401</v>
      </c>
      <c r="I243" s="2" t="s">
        <v>402</v>
      </c>
      <c r="J243" s="2" t="s">
        <v>43</v>
      </c>
      <c r="K243" s="2" t="s">
        <v>44</v>
      </c>
      <c r="L243" s="2" t="s">
        <v>51</v>
      </c>
      <c r="M243" s="2" t="s">
        <v>52</v>
      </c>
      <c r="O243" s="2" t="s">
        <v>403</v>
      </c>
    </row>
    <row r="244" spans="1:15">
      <c r="A244" s="44"/>
      <c r="B244" s="44"/>
      <c r="C244" s="2">
        <v>71</v>
      </c>
      <c r="D244" s="2">
        <v>71</v>
      </c>
      <c r="F244" s="2">
        <v>21</v>
      </c>
      <c r="G244" s="2" t="s">
        <v>404</v>
      </c>
      <c r="H244" s="2" t="s">
        <v>405</v>
      </c>
      <c r="I244" s="2" t="s">
        <v>406</v>
      </c>
      <c r="J244" s="2" t="s">
        <v>43</v>
      </c>
      <c r="K244" s="2" t="s">
        <v>44</v>
      </c>
      <c r="L244" s="2" t="s">
        <v>201</v>
      </c>
      <c r="M244" s="2" t="s">
        <v>202</v>
      </c>
      <c r="O244" s="2" t="s">
        <v>203</v>
      </c>
    </row>
    <row r="245" spans="1:15">
      <c r="A245" s="44"/>
      <c r="B245" s="44"/>
      <c r="C245" s="2">
        <v>79</v>
      </c>
      <c r="D245" s="2">
        <v>79</v>
      </c>
      <c r="F245" s="2">
        <v>1</v>
      </c>
      <c r="G245" s="2" t="s">
        <v>407</v>
      </c>
      <c r="H245" s="2" t="s">
        <v>408</v>
      </c>
      <c r="I245" s="2" t="s">
        <v>409</v>
      </c>
      <c r="J245" s="2" t="s">
        <v>43</v>
      </c>
      <c r="K245" s="2" t="s">
        <v>44</v>
      </c>
      <c r="L245" s="2" t="s">
        <v>239</v>
      </c>
      <c r="M245" s="2" t="s">
        <v>52</v>
      </c>
      <c r="O245" s="2" t="s">
        <v>410</v>
      </c>
    </row>
    <row r="246" spans="1:15">
      <c r="A246" s="44"/>
      <c r="B246" s="44"/>
      <c r="C246" s="2">
        <v>79</v>
      </c>
      <c r="D246" s="2">
        <v>79</v>
      </c>
      <c r="F246" s="2">
        <v>2</v>
      </c>
      <c r="G246" s="2" t="s">
        <v>411</v>
      </c>
      <c r="H246" s="2" t="s">
        <v>412</v>
      </c>
      <c r="I246" s="2" t="s">
        <v>413</v>
      </c>
      <c r="J246" s="2" t="s">
        <v>43</v>
      </c>
      <c r="K246" s="2" t="s">
        <v>58</v>
      </c>
      <c r="L246" s="2" t="s">
        <v>283</v>
      </c>
      <c r="M246" s="2" t="s">
        <v>60</v>
      </c>
      <c r="O246" s="2" t="s">
        <v>414</v>
      </c>
    </row>
    <row r="247" spans="1:15">
      <c r="A247" s="44"/>
      <c r="B247" s="44"/>
      <c r="C247" s="2">
        <v>79</v>
      </c>
      <c r="D247" s="2">
        <v>79</v>
      </c>
      <c r="F247" s="2">
        <v>3</v>
      </c>
      <c r="G247" s="2" t="s">
        <v>415</v>
      </c>
      <c r="H247" s="2" t="s">
        <v>416</v>
      </c>
      <c r="I247" s="2" t="s">
        <v>417</v>
      </c>
      <c r="J247" s="2" t="s">
        <v>43</v>
      </c>
      <c r="K247" s="2" t="s">
        <v>58</v>
      </c>
      <c r="L247" s="2" t="s">
        <v>283</v>
      </c>
      <c r="M247" s="2" t="s">
        <v>60</v>
      </c>
      <c r="O247" s="2" t="s">
        <v>284</v>
      </c>
    </row>
    <row r="248" spans="1:15">
      <c r="A248" s="44"/>
      <c r="B248" s="44"/>
      <c r="C248" s="2">
        <v>79</v>
      </c>
      <c r="D248" s="2">
        <v>79</v>
      </c>
      <c r="F248" s="2">
        <v>4</v>
      </c>
      <c r="G248" s="2" t="s">
        <v>418</v>
      </c>
      <c r="H248" s="2" t="s">
        <v>419</v>
      </c>
      <c r="I248" s="2" t="s">
        <v>420</v>
      </c>
      <c r="J248" s="2" t="s">
        <v>43</v>
      </c>
      <c r="K248" s="2" t="s">
        <v>44</v>
      </c>
      <c r="L248" s="2" t="s">
        <v>229</v>
      </c>
      <c r="M248" s="2" t="s">
        <v>52</v>
      </c>
      <c r="O248" s="2" t="s">
        <v>302</v>
      </c>
    </row>
    <row r="249" spans="1:15">
      <c r="A249" s="44"/>
      <c r="B249" s="44"/>
      <c r="C249" s="2">
        <v>79</v>
      </c>
      <c r="D249" s="2">
        <v>79</v>
      </c>
      <c r="F249" s="2">
        <v>5</v>
      </c>
      <c r="G249" s="2" t="s">
        <v>421</v>
      </c>
      <c r="H249" s="2" t="s">
        <v>422</v>
      </c>
      <c r="I249" s="2" t="s">
        <v>423</v>
      </c>
      <c r="J249" s="2" t="s">
        <v>57</v>
      </c>
      <c r="K249" s="2" t="s">
        <v>44</v>
      </c>
      <c r="L249" s="2" t="s">
        <v>103</v>
      </c>
      <c r="M249" s="2" t="s">
        <v>52</v>
      </c>
      <c r="O249" s="2" t="s">
        <v>424</v>
      </c>
    </row>
    <row r="250" spans="1:15">
      <c r="A250" s="44"/>
      <c r="B250" s="44"/>
      <c r="C250" s="2">
        <v>79</v>
      </c>
      <c r="D250" s="2">
        <v>79</v>
      </c>
      <c r="F250" s="2">
        <v>6</v>
      </c>
      <c r="G250" s="2" t="s">
        <v>425</v>
      </c>
      <c r="H250" s="2" t="s">
        <v>426</v>
      </c>
      <c r="I250" s="2" t="s">
        <v>427</v>
      </c>
      <c r="J250" s="2" t="s">
        <v>43</v>
      </c>
      <c r="K250" s="2" t="s">
        <v>44</v>
      </c>
      <c r="L250" s="2" t="s">
        <v>51</v>
      </c>
      <c r="M250" s="2" t="s">
        <v>52</v>
      </c>
      <c r="O250" s="2" t="s">
        <v>428</v>
      </c>
    </row>
    <row r="251" spans="1:15">
      <c r="A251" s="44"/>
      <c r="B251" s="44"/>
      <c r="C251" s="2">
        <v>79</v>
      </c>
      <c r="D251" s="2">
        <v>79</v>
      </c>
      <c r="F251" s="2">
        <v>7</v>
      </c>
      <c r="G251" s="2" t="s">
        <v>429</v>
      </c>
      <c r="H251" s="2" t="s">
        <v>430</v>
      </c>
      <c r="I251" s="2" t="s">
        <v>431</v>
      </c>
      <c r="J251" s="2" t="s">
        <v>43</v>
      </c>
      <c r="K251" s="2" t="s">
        <v>44</v>
      </c>
      <c r="L251" s="2" t="s">
        <v>432</v>
      </c>
      <c r="M251" s="2" t="s">
        <v>88</v>
      </c>
      <c r="O251" s="2" t="s">
        <v>433</v>
      </c>
    </row>
    <row r="252" spans="1:15">
      <c r="A252" s="44"/>
      <c r="B252" s="44"/>
      <c r="C252" s="2">
        <v>79</v>
      </c>
      <c r="D252" s="2">
        <v>79</v>
      </c>
      <c r="F252" s="2">
        <v>8</v>
      </c>
      <c r="G252" s="2" t="s">
        <v>434</v>
      </c>
      <c r="H252" s="2" t="s">
        <v>435</v>
      </c>
      <c r="I252" s="2" t="s">
        <v>436</v>
      </c>
      <c r="J252" s="2" t="s">
        <v>43</v>
      </c>
      <c r="K252" s="2" t="s">
        <v>44</v>
      </c>
      <c r="L252" s="2" t="s">
        <v>437</v>
      </c>
      <c r="M252" s="2" t="s">
        <v>73</v>
      </c>
      <c r="O252" s="2" t="s">
        <v>438</v>
      </c>
    </row>
    <row r="253" spans="1:15">
      <c r="A253" s="44"/>
      <c r="B253" s="44"/>
      <c r="C253" s="2">
        <v>79</v>
      </c>
      <c r="D253" s="2">
        <v>79</v>
      </c>
      <c r="F253" s="2">
        <v>9</v>
      </c>
      <c r="G253" s="2" t="s">
        <v>439</v>
      </c>
      <c r="H253" s="2" t="s">
        <v>440</v>
      </c>
      <c r="I253" s="2" t="s">
        <v>441</v>
      </c>
      <c r="J253" s="2" t="s">
        <v>43</v>
      </c>
      <c r="K253" s="2" t="s">
        <v>44</v>
      </c>
      <c r="L253" s="2" t="s">
        <v>82</v>
      </c>
      <c r="M253" s="2" t="s">
        <v>52</v>
      </c>
      <c r="O253" s="2" t="s">
        <v>442</v>
      </c>
    </row>
    <row r="254" spans="1:15">
      <c r="A254" s="44"/>
      <c r="B254" s="44"/>
      <c r="C254" s="2">
        <v>79</v>
      </c>
      <c r="D254" s="2">
        <v>79</v>
      </c>
      <c r="F254" s="2">
        <v>10</v>
      </c>
      <c r="G254" s="2" t="s">
        <v>443</v>
      </c>
      <c r="H254" s="2" t="s">
        <v>444</v>
      </c>
      <c r="I254" s="2" t="s">
        <v>445</v>
      </c>
      <c r="J254" s="2" t="s">
        <v>43</v>
      </c>
      <c r="K254" s="2" t="s">
        <v>44</v>
      </c>
      <c r="L254" s="2" t="s">
        <v>103</v>
      </c>
      <c r="M254" s="2" t="s">
        <v>52</v>
      </c>
      <c r="O254" s="2" t="s">
        <v>446</v>
      </c>
    </row>
    <row r="255" spans="1:15">
      <c r="A255" s="44"/>
      <c r="B255" s="44"/>
      <c r="C255" s="2">
        <v>79</v>
      </c>
      <c r="D255" s="2">
        <v>79</v>
      </c>
      <c r="F255" s="2">
        <v>11</v>
      </c>
      <c r="G255" s="2" t="s">
        <v>447</v>
      </c>
      <c r="H255" s="2" t="s">
        <v>448</v>
      </c>
      <c r="I255" s="2" t="s">
        <v>449</v>
      </c>
      <c r="J255" s="2" t="s">
        <v>43</v>
      </c>
      <c r="K255" s="2" t="s">
        <v>44</v>
      </c>
      <c r="L255" s="2" t="s">
        <v>344</v>
      </c>
      <c r="M255" s="2" t="s">
        <v>52</v>
      </c>
      <c r="O255" s="2" t="s">
        <v>450</v>
      </c>
    </row>
    <row r="256" spans="1:15">
      <c r="A256" s="44"/>
      <c r="B256" s="44"/>
      <c r="C256" s="2">
        <v>79</v>
      </c>
      <c r="D256" s="2">
        <v>79</v>
      </c>
      <c r="F256" s="2">
        <v>12</v>
      </c>
      <c r="G256" s="2" t="s">
        <v>451</v>
      </c>
      <c r="H256" s="2" t="s">
        <v>452</v>
      </c>
      <c r="I256" s="2" t="s">
        <v>453</v>
      </c>
      <c r="J256" s="2" t="s">
        <v>43</v>
      </c>
      <c r="K256" s="2" t="s">
        <v>44</v>
      </c>
      <c r="L256" s="2" t="s">
        <v>229</v>
      </c>
      <c r="M256" s="2" t="s">
        <v>52</v>
      </c>
      <c r="O256" s="2" t="s">
        <v>261</v>
      </c>
    </row>
    <row r="257" spans="1:15">
      <c r="A257" s="44"/>
      <c r="B257" s="44"/>
      <c r="C257" s="2">
        <v>79</v>
      </c>
      <c r="D257" s="2">
        <v>79</v>
      </c>
      <c r="F257" s="2">
        <v>13</v>
      </c>
      <c r="G257" s="2" t="s">
        <v>454</v>
      </c>
      <c r="H257" s="2" t="s">
        <v>455</v>
      </c>
      <c r="I257" s="2" t="s">
        <v>456</v>
      </c>
      <c r="J257" s="2" t="s">
        <v>43</v>
      </c>
      <c r="K257" s="2" t="s">
        <v>65</v>
      </c>
      <c r="L257" s="2" t="s">
        <v>457</v>
      </c>
      <c r="M257" s="2" t="s">
        <v>458</v>
      </c>
      <c r="O257" s="2" t="s">
        <v>279</v>
      </c>
    </row>
    <row r="258" spans="1:15">
      <c r="A258" s="44"/>
      <c r="B258" s="44"/>
      <c r="C258" s="2">
        <v>79</v>
      </c>
      <c r="D258" s="2">
        <v>79</v>
      </c>
      <c r="F258" s="2">
        <v>14</v>
      </c>
      <c r="G258" s="2" t="s">
        <v>459</v>
      </c>
      <c r="H258" s="2" t="s">
        <v>460</v>
      </c>
      <c r="I258" s="2" t="s">
        <v>461</v>
      </c>
      <c r="J258" s="2" t="s">
        <v>43</v>
      </c>
      <c r="K258" s="2" t="s">
        <v>44</v>
      </c>
      <c r="L258" s="2" t="s">
        <v>239</v>
      </c>
      <c r="M258" s="2" t="s">
        <v>52</v>
      </c>
      <c r="O258" s="2" t="s">
        <v>240</v>
      </c>
    </row>
    <row r="259" spans="1:15">
      <c r="A259" s="44"/>
      <c r="B259" s="44"/>
      <c r="C259" s="2">
        <v>79</v>
      </c>
      <c r="D259" s="2">
        <v>79</v>
      </c>
      <c r="F259" s="2">
        <v>15</v>
      </c>
      <c r="G259" s="2" t="s">
        <v>462</v>
      </c>
      <c r="H259" s="2" t="s">
        <v>463</v>
      </c>
      <c r="I259" s="2" t="s">
        <v>464</v>
      </c>
      <c r="J259" s="2" t="s">
        <v>43</v>
      </c>
      <c r="K259" s="2" t="s">
        <v>44</v>
      </c>
      <c r="L259" s="2" t="s">
        <v>229</v>
      </c>
      <c r="M259" s="2" t="s">
        <v>52</v>
      </c>
      <c r="O259" s="2" t="s">
        <v>465</v>
      </c>
    </row>
    <row r="260" spans="1:15">
      <c r="A260" s="44"/>
      <c r="B260" s="44"/>
      <c r="C260" s="2">
        <v>79</v>
      </c>
      <c r="D260" s="2">
        <v>79</v>
      </c>
      <c r="F260" s="2">
        <v>16</v>
      </c>
      <c r="G260" s="2" t="s">
        <v>466</v>
      </c>
      <c r="H260" s="2" t="s">
        <v>467</v>
      </c>
      <c r="I260" s="2" t="s">
        <v>468</v>
      </c>
      <c r="J260" s="2" t="s">
        <v>43</v>
      </c>
      <c r="K260" s="2" t="s">
        <v>44</v>
      </c>
      <c r="L260" s="2" t="s">
        <v>107</v>
      </c>
      <c r="M260" s="2" t="s">
        <v>52</v>
      </c>
      <c r="O260" s="2" t="s">
        <v>469</v>
      </c>
    </row>
    <row r="261" spans="1:15">
      <c r="A261" s="44"/>
      <c r="B261" s="44"/>
      <c r="C261" s="2">
        <v>79</v>
      </c>
      <c r="D261" s="2">
        <v>79</v>
      </c>
      <c r="F261" s="2">
        <v>17</v>
      </c>
      <c r="G261" s="2" t="s">
        <v>470</v>
      </c>
      <c r="H261" s="2" t="s">
        <v>471</v>
      </c>
      <c r="I261" s="2" t="s">
        <v>472</v>
      </c>
      <c r="J261" s="2" t="s">
        <v>43</v>
      </c>
      <c r="K261" s="2" t="s">
        <v>155</v>
      </c>
      <c r="L261" s="2" t="s">
        <v>473</v>
      </c>
      <c r="M261" s="2" t="s">
        <v>157</v>
      </c>
      <c r="O261" s="2" t="s">
        <v>474</v>
      </c>
    </row>
    <row r="262" spans="1:15">
      <c r="A262" s="44"/>
      <c r="B262" s="44"/>
      <c r="C262" s="2">
        <v>88</v>
      </c>
      <c r="D262" s="2">
        <v>88</v>
      </c>
      <c r="F262" s="2">
        <v>7</v>
      </c>
      <c r="G262" s="2" t="s">
        <v>475</v>
      </c>
      <c r="H262" s="2" t="s">
        <v>476</v>
      </c>
      <c r="I262" s="2" t="s">
        <v>477</v>
      </c>
      <c r="J262" s="2" t="s">
        <v>43</v>
      </c>
      <c r="K262" s="2" t="s">
        <v>65</v>
      </c>
      <c r="L262" s="2" t="s">
        <v>478</v>
      </c>
      <c r="M262" s="2" t="s">
        <v>220</v>
      </c>
      <c r="O262" s="2" t="s">
        <v>479</v>
      </c>
    </row>
    <row r="263" spans="1:15">
      <c r="A263" s="44"/>
      <c r="B263" s="44"/>
      <c r="C263" s="2">
        <v>88</v>
      </c>
      <c r="D263" s="2">
        <v>88</v>
      </c>
      <c r="F263" s="2">
        <v>5</v>
      </c>
      <c r="G263" s="2" t="s">
        <v>480</v>
      </c>
      <c r="H263" s="2" t="s">
        <v>481</v>
      </c>
      <c r="I263" s="2" t="s">
        <v>482</v>
      </c>
      <c r="J263" s="2" t="s">
        <v>43</v>
      </c>
      <c r="K263" s="2" t="s">
        <v>65</v>
      </c>
      <c r="L263" s="2" t="s">
        <v>219</v>
      </c>
      <c r="M263" s="2" t="s">
        <v>220</v>
      </c>
      <c r="O263" s="2" t="s">
        <v>483</v>
      </c>
    </row>
    <row r="264" spans="1:15">
      <c r="A264" s="44"/>
      <c r="B264" s="44"/>
      <c r="C264" s="2">
        <v>88</v>
      </c>
      <c r="D264" s="2">
        <v>88</v>
      </c>
      <c r="F264" s="2">
        <v>4</v>
      </c>
      <c r="G264" s="2" t="s">
        <v>484</v>
      </c>
      <c r="H264" s="2" t="s">
        <v>485</v>
      </c>
      <c r="I264" s="2" t="s">
        <v>486</v>
      </c>
      <c r="J264" s="2" t="s">
        <v>43</v>
      </c>
      <c r="K264" s="2" t="s">
        <v>44</v>
      </c>
      <c r="L264" s="2" t="s">
        <v>397</v>
      </c>
      <c r="M264" s="2" t="s">
        <v>398</v>
      </c>
      <c r="O264" s="2" t="s">
        <v>487</v>
      </c>
    </row>
    <row r="265" spans="1:15">
      <c r="A265" s="44"/>
      <c r="B265" s="44"/>
      <c r="C265" s="2">
        <v>88</v>
      </c>
      <c r="D265" s="2">
        <v>88</v>
      </c>
      <c r="F265" s="2">
        <v>3</v>
      </c>
      <c r="G265" s="2" t="s">
        <v>488</v>
      </c>
      <c r="H265" s="2" t="s">
        <v>489</v>
      </c>
      <c r="I265" s="2" t="s">
        <v>490</v>
      </c>
      <c r="J265" s="2" t="s">
        <v>43</v>
      </c>
      <c r="K265" s="2" t="s">
        <v>44</v>
      </c>
      <c r="L265" s="2" t="s">
        <v>491</v>
      </c>
      <c r="M265" s="2" t="s">
        <v>73</v>
      </c>
      <c r="O265" s="2" t="s">
        <v>492</v>
      </c>
    </row>
    <row r="266" spans="1:15">
      <c r="A266" s="44"/>
      <c r="B266" s="44"/>
      <c r="C266" s="2">
        <v>88</v>
      </c>
      <c r="D266" s="2">
        <v>88</v>
      </c>
      <c r="F266" s="2">
        <v>2</v>
      </c>
      <c r="G266" s="2" t="s">
        <v>493</v>
      </c>
      <c r="H266" s="2" t="s">
        <v>494</v>
      </c>
      <c r="I266" s="2" t="s">
        <v>495</v>
      </c>
      <c r="J266" s="2" t="s">
        <v>57</v>
      </c>
      <c r="K266" s="2" t="s">
        <v>44</v>
      </c>
      <c r="L266" s="2" t="s">
        <v>496</v>
      </c>
      <c r="M266" s="2" t="s">
        <v>73</v>
      </c>
      <c r="O266" s="2" t="s">
        <v>497</v>
      </c>
    </row>
    <row r="267" spans="1:15">
      <c r="A267" s="44"/>
      <c r="B267" s="44"/>
      <c r="C267" s="2">
        <v>88</v>
      </c>
      <c r="D267" s="2">
        <v>88</v>
      </c>
      <c r="F267" s="2">
        <v>1</v>
      </c>
      <c r="G267" s="2" t="s">
        <v>498</v>
      </c>
      <c r="H267" s="2" t="s">
        <v>499</v>
      </c>
      <c r="I267" s="2" t="s">
        <v>500</v>
      </c>
      <c r="J267" s="2" t="s">
        <v>57</v>
      </c>
      <c r="K267" s="2" t="s">
        <v>44</v>
      </c>
      <c r="L267" s="2" t="s">
        <v>103</v>
      </c>
      <c r="M267" s="2" t="s">
        <v>52</v>
      </c>
      <c r="O267" s="2" t="s">
        <v>501</v>
      </c>
    </row>
    <row r="268" spans="1:15">
      <c r="A268" s="44"/>
      <c r="B268" s="44"/>
      <c r="C268" s="2">
        <v>88</v>
      </c>
      <c r="D268" s="2">
        <v>88</v>
      </c>
      <c r="F268" s="2">
        <v>6</v>
      </c>
      <c r="G268" s="2" t="s">
        <v>502</v>
      </c>
      <c r="H268" s="2" t="s">
        <v>503</v>
      </c>
      <c r="I268" s="2" t="s">
        <v>504</v>
      </c>
      <c r="J268" s="2" t="s">
        <v>43</v>
      </c>
      <c r="K268" s="2" t="s">
        <v>44</v>
      </c>
      <c r="L268" s="2" t="s">
        <v>107</v>
      </c>
      <c r="M268" s="2" t="s">
        <v>52</v>
      </c>
      <c r="O268" s="2" t="s">
        <v>505</v>
      </c>
    </row>
    <row r="269" spans="1:15">
      <c r="A269" s="44"/>
      <c r="B269" s="44"/>
      <c r="C269" s="2">
        <v>88</v>
      </c>
      <c r="D269" s="2">
        <v>88</v>
      </c>
      <c r="F269" s="2">
        <v>8</v>
      </c>
      <c r="G269" s="2" t="s">
        <v>506</v>
      </c>
      <c r="H269" s="2" t="s">
        <v>507</v>
      </c>
      <c r="I269" s="2" t="s">
        <v>508</v>
      </c>
      <c r="J269" s="2" t="s">
        <v>43</v>
      </c>
      <c r="K269" s="2" t="s">
        <v>65</v>
      </c>
      <c r="L269" s="2" t="s">
        <v>509</v>
      </c>
      <c r="M269" s="2" t="s">
        <v>510</v>
      </c>
      <c r="O269" s="2" t="s">
        <v>511</v>
      </c>
    </row>
    <row r="270" spans="1:15">
      <c r="A270" s="44"/>
      <c r="B270" s="44"/>
      <c r="C270" s="2">
        <v>88</v>
      </c>
      <c r="D270" s="2">
        <v>88</v>
      </c>
      <c r="F270" s="2">
        <v>9</v>
      </c>
      <c r="G270" s="2" t="s">
        <v>512</v>
      </c>
      <c r="H270" s="2" t="s">
        <v>513</v>
      </c>
      <c r="I270" s="2" t="s">
        <v>514</v>
      </c>
      <c r="J270" s="2" t="s">
        <v>43</v>
      </c>
      <c r="K270" s="2" t="s">
        <v>44</v>
      </c>
      <c r="L270" s="2" t="s">
        <v>292</v>
      </c>
      <c r="M270" s="2" t="s">
        <v>52</v>
      </c>
      <c r="O270" s="2" t="s">
        <v>515</v>
      </c>
    </row>
    <row r="271" spans="1:15">
      <c r="A271" s="44"/>
      <c r="B271" s="44"/>
      <c r="C271" s="2">
        <v>88</v>
      </c>
      <c r="D271" s="2">
        <v>88</v>
      </c>
      <c r="F271" s="2">
        <v>10</v>
      </c>
      <c r="G271" s="2" t="s">
        <v>516</v>
      </c>
      <c r="H271" s="2" t="s">
        <v>517</v>
      </c>
      <c r="I271" s="2" t="s">
        <v>518</v>
      </c>
      <c r="J271" s="2" t="s">
        <v>43</v>
      </c>
      <c r="K271" s="2" t="s">
        <v>44</v>
      </c>
      <c r="L271" s="2" t="s">
        <v>239</v>
      </c>
      <c r="M271" s="2" t="s">
        <v>52</v>
      </c>
      <c r="O271" s="2" t="s">
        <v>519</v>
      </c>
    </row>
    <row r="272" spans="1:15">
      <c r="A272" s="44"/>
      <c r="B272" s="44"/>
      <c r="C272" s="2">
        <v>88</v>
      </c>
      <c r="D272" s="2">
        <v>88</v>
      </c>
      <c r="F272" s="2">
        <v>11</v>
      </c>
      <c r="G272" s="2" t="s">
        <v>520</v>
      </c>
      <c r="H272" s="2" t="s">
        <v>521</v>
      </c>
      <c r="I272" s="2" t="s">
        <v>522</v>
      </c>
      <c r="J272" s="2" t="s">
        <v>43</v>
      </c>
      <c r="K272" s="2" t="s">
        <v>44</v>
      </c>
      <c r="L272" s="2" t="s">
        <v>523</v>
      </c>
      <c r="M272" s="2" t="s">
        <v>524</v>
      </c>
      <c r="O272" s="2" t="s">
        <v>525</v>
      </c>
    </row>
    <row r="273" spans="1:15">
      <c r="A273" s="44"/>
      <c r="B273" s="44"/>
      <c r="C273" s="2">
        <v>88</v>
      </c>
      <c r="D273" s="2">
        <v>88</v>
      </c>
      <c r="F273" s="2">
        <v>12</v>
      </c>
      <c r="G273" s="2" t="s">
        <v>526</v>
      </c>
      <c r="H273" s="2" t="s">
        <v>527</v>
      </c>
      <c r="I273" s="2" t="s">
        <v>528</v>
      </c>
      <c r="J273" s="2" t="s">
        <v>43</v>
      </c>
      <c r="K273" s="2" t="s">
        <v>44</v>
      </c>
      <c r="L273" s="2" t="s">
        <v>146</v>
      </c>
      <c r="M273" s="2" t="s">
        <v>88</v>
      </c>
      <c r="O273" s="2" t="s">
        <v>529</v>
      </c>
    </row>
    <row r="274" spans="1:15">
      <c r="A274" s="44"/>
      <c r="B274" s="44"/>
      <c r="C274" s="2">
        <v>98</v>
      </c>
      <c r="D274" s="2">
        <v>98</v>
      </c>
      <c r="F274" s="2">
        <v>1</v>
      </c>
      <c r="G274" s="2" t="s">
        <v>530</v>
      </c>
      <c r="H274" s="2" t="s">
        <v>531</v>
      </c>
      <c r="I274" s="2" t="s">
        <v>532</v>
      </c>
      <c r="J274" s="2" t="s">
        <v>43</v>
      </c>
      <c r="K274" s="2" t="s">
        <v>44</v>
      </c>
      <c r="L274" s="2" t="s">
        <v>229</v>
      </c>
      <c r="M274" s="2" t="s">
        <v>52</v>
      </c>
      <c r="O274" s="2" t="s">
        <v>519</v>
      </c>
    </row>
    <row r="275" spans="1:15">
      <c r="A275" s="44"/>
      <c r="B275" s="44"/>
      <c r="C275" s="2">
        <v>98</v>
      </c>
      <c r="D275" s="2">
        <v>98</v>
      </c>
      <c r="F275" s="2">
        <v>2</v>
      </c>
      <c r="G275" s="2" t="s">
        <v>533</v>
      </c>
      <c r="H275" s="2" t="s">
        <v>534</v>
      </c>
      <c r="I275" s="2" t="s">
        <v>535</v>
      </c>
      <c r="J275" s="2" t="s">
        <v>43</v>
      </c>
      <c r="K275" s="2" t="s">
        <v>44</v>
      </c>
      <c r="L275" s="2" t="s">
        <v>229</v>
      </c>
      <c r="M275" s="2" t="s">
        <v>52</v>
      </c>
      <c r="O275" s="2" t="s">
        <v>536</v>
      </c>
    </row>
    <row r="276" spans="1:15">
      <c r="A276" s="44"/>
      <c r="B276" s="44"/>
      <c r="C276" s="2" t="s">
        <v>537</v>
      </c>
      <c r="D276" s="2">
        <v>99</v>
      </c>
      <c r="F276" s="2">
        <v>1</v>
      </c>
      <c r="G276" s="2" t="s">
        <v>538</v>
      </c>
      <c r="H276" s="2" t="s">
        <v>539</v>
      </c>
      <c r="I276" s="2" t="s">
        <v>540</v>
      </c>
      <c r="J276" s="2" t="s">
        <v>43</v>
      </c>
      <c r="K276" s="2" t="s">
        <v>44</v>
      </c>
      <c r="L276" s="2" t="s">
        <v>229</v>
      </c>
      <c r="M276" s="2" t="s">
        <v>52</v>
      </c>
      <c r="O276" s="2" t="s">
        <v>348</v>
      </c>
    </row>
    <row r="277" spans="1:15">
      <c r="A277" s="44"/>
      <c r="B277" s="44"/>
    </row>
    <row r="278" spans="1:15">
      <c r="A278" s="44"/>
      <c r="B278" s="44"/>
    </row>
    <row r="279" spans="1:15">
      <c r="A279" s="44"/>
      <c r="B279" s="44"/>
    </row>
    <row r="280" spans="1:15">
      <c r="A280" s="44"/>
      <c r="B280" s="44"/>
    </row>
    <row r="281" spans="1:15">
      <c r="A281" s="44"/>
      <c r="B281" s="44"/>
    </row>
    <row r="282" spans="1:15">
      <c r="A282" s="44"/>
      <c r="B282" s="44"/>
    </row>
    <row r="283" spans="1:15">
      <c r="A283" s="44"/>
      <c r="B283" s="44"/>
    </row>
    <row r="284" spans="1:15">
      <c r="A284" s="44"/>
      <c r="B284" s="44"/>
    </row>
    <row r="285" spans="1:15">
      <c r="A285" s="44"/>
      <c r="B285" s="44"/>
    </row>
    <row r="286" spans="1:15">
      <c r="A286" s="44"/>
      <c r="B286" s="44"/>
    </row>
    <row r="287" spans="1:15">
      <c r="A287" s="44"/>
      <c r="B287" s="44"/>
    </row>
    <row r="288" spans="1:15">
      <c r="A288" s="44"/>
      <c r="B288" s="44"/>
    </row>
    <row r="289" spans="1:2">
      <c r="A289" s="44"/>
      <c r="B289" s="44"/>
    </row>
    <row r="290" spans="1:2">
      <c r="A290" s="44"/>
      <c r="B290" s="44"/>
    </row>
    <row r="291" spans="1:2">
      <c r="A291" s="44"/>
      <c r="B291" s="44"/>
    </row>
    <row r="292" spans="1:2">
      <c r="A292" s="44"/>
      <c r="B292" s="44"/>
    </row>
    <row r="293" spans="1:2">
      <c r="A293" s="44"/>
      <c r="B293" s="44"/>
    </row>
    <row r="294" spans="1:2">
      <c r="A294" s="44"/>
      <c r="B294" s="44"/>
    </row>
    <row r="295" spans="1:2">
      <c r="A295" s="44"/>
      <c r="B295" s="44"/>
    </row>
    <row r="296" spans="1:2">
      <c r="A296" s="44"/>
      <c r="B296" s="44"/>
    </row>
    <row r="297" spans="1:2">
      <c r="A297" s="44"/>
      <c r="B297" s="44"/>
    </row>
    <row r="298" spans="1:2">
      <c r="A298" s="44"/>
      <c r="B298" s="44"/>
    </row>
    <row r="299" spans="1:2">
      <c r="A299" s="44"/>
      <c r="B299" s="44"/>
    </row>
    <row r="300" spans="1:2">
      <c r="A300" s="44"/>
      <c r="B300" s="44"/>
    </row>
    <row r="301" spans="1:2">
      <c r="A301" s="44"/>
      <c r="B301" s="44"/>
    </row>
    <row r="302" spans="1:2">
      <c r="A302" s="44"/>
      <c r="B302" s="44"/>
    </row>
    <row r="303" spans="1:2">
      <c r="A303" s="44"/>
      <c r="B303" s="44"/>
    </row>
    <row r="304" spans="1:2">
      <c r="A304" s="44"/>
      <c r="B304" s="44"/>
    </row>
    <row r="305" spans="1:2">
      <c r="A305" s="44"/>
      <c r="B305" s="44"/>
    </row>
    <row r="306" spans="1:2">
      <c r="A306" s="44"/>
      <c r="B306" s="44"/>
    </row>
    <row r="307" spans="1:2">
      <c r="A307" s="44"/>
      <c r="B307" s="44"/>
    </row>
    <row r="308" spans="1:2">
      <c r="A308" s="44"/>
      <c r="B308" s="44"/>
    </row>
    <row r="309" spans="1:2">
      <c r="A309" s="44"/>
      <c r="B309" s="44"/>
    </row>
    <row r="310" spans="1:2">
      <c r="A310" s="44"/>
      <c r="B310" s="44"/>
    </row>
    <row r="311" spans="1:2">
      <c r="A311" s="44"/>
      <c r="B311" s="44"/>
    </row>
    <row r="312" spans="1:2">
      <c r="A312" s="44"/>
      <c r="B312" s="44"/>
    </row>
    <row r="313" spans="1:2">
      <c r="A313" s="44"/>
      <c r="B313" s="44"/>
    </row>
    <row r="314" spans="1:2">
      <c r="A314" s="44"/>
      <c r="B314" s="44"/>
    </row>
    <row r="315" spans="1:2">
      <c r="A315" s="44"/>
      <c r="B315" s="44"/>
    </row>
    <row r="316" spans="1:2">
      <c r="A316" s="44"/>
      <c r="B316" s="44"/>
    </row>
    <row r="317" spans="1:2">
      <c r="A317" s="44"/>
      <c r="B317" s="44"/>
    </row>
    <row r="318" spans="1:2">
      <c r="A318" s="44"/>
      <c r="B318" s="44"/>
    </row>
    <row r="319" spans="1:2">
      <c r="A319" s="44"/>
      <c r="B319" s="44"/>
    </row>
    <row r="320" spans="1:2">
      <c r="A320" s="44"/>
      <c r="B320" s="44"/>
    </row>
    <row r="321" spans="1:2">
      <c r="A321" s="44"/>
      <c r="B321" s="44"/>
    </row>
    <row r="322" spans="1:2">
      <c r="A322" s="44"/>
      <c r="B322" s="44"/>
    </row>
    <row r="323" spans="1:2">
      <c r="A323" s="44"/>
      <c r="B323" s="44"/>
    </row>
    <row r="324" spans="1:2">
      <c r="A324" s="44"/>
      <c r="B324" s="44"/>
    </row>
    <row r="325" spans="1:2">
      <c r="A325" s="44"/>
      <c r="B325" s="44"/>
    </row>
    <row r="326" spans="1:2">
      <c r="A326" s="44"/>
      <c r="B326" s="44"/>
    </row>
    <row r="327" spans="1:2">
      <c r="A327" s="44"/>
      <c r="B327" s="44"/>
    </row>
    <row r="328" spans="1:2">
      <c r="A328" s="44"/>
      <c r="B328" s="44"/>
    </row>
    <row r="329" spans="1:2">
      <c r="A329" s="44"/>
      <c r="B329" s="44"/>
    </row>
    <row r="330" spans="1:2">
      <c r="A330" s="44"/>
      <c r="B330" s="44"/>
    </row>
    <row r="331" spans="1:2">
      <c r="A331" s="44"/>
      <c r="B331" s="44"/>
    </row>
    <row r="332" spans="1:2">
      <c r="A332" s="44"/>
      <c r="B332" s="44"/>
    </row>
    <row r="333" spans="1:2">
      <c r="A333" s="44"/>
      <c r="B333" s="44"/>
    </row>
    <row r="334" spans="1:2">
      <c r="A334" s="44"/>
      <c r="B334" s="44"/>
    </row>
    <row r="335" spans="1:2">
      <c r="A335" s="44"/>
      <c r="B335" s="44"/>
    </row>
    <row r="336" spans="1:2">
      <c r="A336" s="44"/>
      <c r="B336" s="44"/>
    </row>
    <row r="337" spans="1:2">
      <c r="A337" s="44"/>
      <c r="B337" s="44"/>
    </row>
    <row r="338" spans="1:2">
      <c r="A338" s="44"/>
      <c r="B338" s="44"/>
    </row>
    <row r="339" spans="1:2">
      <c r="A339" s="44"/>
      <c r="B339" s="44"/>
    </row>
    <row r="340" spans="1:2">
      <c r="A340" s="44"/>
      <c r="B340" s="44"/>
    </row>
    <row r="341" spans="1:2">
      <c r="A341" s="44"/>
      <c r="B341" s="44"/>
    </row>
    <row r="342" spans="1:2">
      <c r="A342" s="44"/>
      <c r="B342" s="44"/>
    </row>
    <row r="343" spans="1:2">
      <c r="A343" s="44"/>
      <c r="B343" s="44"/>
    </row>
    <row r="344" spans="1:2">
      <c r="A344" s="44"/>
      <c r="B344" s="44"/>
    </row>
    <row r="345" spans="1:2">
      <c r="A345" s="44"/>
      <c r="B345" s="44"/>
    </row>
    <row r="346" spans="1:2">
      <c r="A346" s="44"/>
      <c r="B346" s="44"/>
    </row>
    <row r="347" spans="1:2">
      <c r="A347" s="44"/>
      <c r="B347" s="44"/>
    </row>
    <row r="348" spans="1:2">
      <c r="A348" s="44"/>
      <c r="B348" s="44"/>
    </row>
    <row r="349" spans="1:2">
      <c r="A349" s="44"/>
      <c r="B349" s="44"/>
    </row>
    <row r="350" spans="1:2">
      <c r="A350" s="44"/>
      <c r="B350" s="44"/>
    </row>
    <row r="351" spans="1:2">
      <c r="A351" s="44"/>
      <c r="B351" s="44"/>
    </row>
    <row r="352" spans="1:2">
      <c r="A352" s="44"/>
      <c r="B352" s="44"/>
    </row>
    <row r="353" spans="1:2">
      <c r="A353" s="44"/>
      <c r="B353" s="44"/>
    </row>
    <row r="354" spans="1:2">
      <c r="A354" s="44"/>
      <c r="B354" s="44"/>
    </row>
    <row r="355" spans="1:2">
      <c r="A355" s="44"/>
      <c r="B355" s="44"/>
    </row>
    <row r="356" spans="1:2">
      <c r="A356" s="44"/>
      <c r="B356" s="44"/>
    </row>
    <row r="357" spans="1:2">
      <c r="A357" s="44"/>
      <c r="B357" s="44"/>
    </row>
    <row r="358" spans="1:2">
      <c r="A358" s="44"/>
      <c r="B358" s="44"/>
    </row>
    <row r="359" spans="1:2">
      <c r="A359" s="44"/>
      <c r="B359" s="44"/>
    </row>
    <row r="360" spans="1:2">
      <c r="A360" s="44"/>
      <c r="B360" s="44"/>
    </row>
    <row r="361" spans="1:2">
      <c r="A361" s="44"/>
      <c r="B361" s="44"/>
    </row>
    <row r="362" spans="1:2">
      <c r="A362" s="44"/>
      <c r="B362" s="44"/>
    </row>
    <row r="363" spans="1:2">
      <c r="A363" s="44"/>
      <c r="B363" s="44"/>
    </row>
    <row r="364" spans="1:2">
      <c r="A364" s="44"/>
      <c r="B364" s="44"/>
    </row>
    <row r="365" spans="1:2">
      <c r="A365" s="44"/>
      <c r="B365" s="44"/>
    </row>
    <row r="366" spans="1:2">
      <c r="A366" s="44"/>
      <c r="B366" s="44"/>
    </row>
    <row r="367" spans="1:2">
      <c r="A367" s="44"/>
      <c r="B367" s="44"/>
    </row>
    <row r="368" spans="1:2">
      <c r="A368" s="44"/>
      <c r="B368" s="44"/>
    </row>
    <row r="369" spans="1:2">
      <c r="A369" s="44"/>
      <c r="B369" s="44"/>
    </row>
    <row r="370" spans="1:2">
      <c r="A370" s="44"/>
      <c r="B370" s="44"/>
    </row>
    <row r="371" spans="1:2">
      <c r="A371" s="44"/>
      <c r="B371" s="44"/>
    </row>
    <row r="372" spans="1:2">
      <c r="A372" s="44"/>
      <c r="B372" s="44"/>
    </row>
    <row r="373" spans="1:2">
      <c r="A373" s="44"/>
      <c r="B373" s="44"/>
    </row>
    <row r="374" spans="1:2">
      <c r="A374" s="44"/>
      <c r="B374" s="44"/>
    </row>
    <row r="375" spans="1:2">
      <c r="A375" s="44"/>
      <c r="B375" s="44"/>
    </row>
    <row r="376" spans="1:2">
      <c r="A376" s="44"/>
      <c r="B376" s="44"/>
    </row>
    <row r="377" spans="1:2">
      <c r="A377" s="44"/>
      <c r="B377" s="44"/>
    </row>
    <row r="378" spans="1:2">
      <c r="A378" s="44"/>
      <c r="B378" s="44"/>
    </row>
    <row r="379" spans="1:2">
      <c r="A379" s="44"/>
      <c r="B379" s="44"/>
    </row>
    <row r="380" spans="1:2">
      <c r="A380" s="44"/>
      <c r="B380" s="44"/>
    </row>
    <row r="381" spans="1:2">
      <c r="A381" s="44"/>
      <c r="B381" s="44"/>
    </row>
    <row r="382" spans="1:2">
      <c r="A382" s="44"/>
      <c r="B382" s="44"/>
    </row>
    <row r="383" spans="1:2">
      <c r="A383" s="44"/>
      <c r="B383" s="44"/>
    </row>
    <row r="384" spans="1:2">
      <c r="A384" s="44"/>
      <c r="B384" s="44"/>
    </row>
    <row r="385" spans="1:2">
      <c r="A385" s="44"/>
      <c r="B385" s="44"/>
    </row>
    <row r="386" spans="1:2">
      <c r="A386" s="44"/>
      <c r="B386" s="44"/>
    </row>
    <row r="387" spans="1:2">
      <c r="A387" s="44"/>
      <c r="B387" s="44"/>
    </row>
    <row r="388" spans="1:2">
      <c r="A388" s="44"/>
      <c r="B388" s="44"/>
    </row>
    <row r="389" spans="1:2">
      <c r="A389" s="44"/>
      <c r="B389" s="44"/>
    </row>
    <row r="390" spans="1:2">
      <c r="A390" s="44"/>
      <c r="B390" s="44"/>
    </row>
    <row r="391" spans="1:2">
      <c r="A391" s="44"/>
      <c r="B391" s="44"/>
    </row>
    <row r="392" spans="1:2">
      <c r="A392" s="44"/>
      <c r="B392" s="44"/>
    </row>
    <row r="393" spans="1:2">
      <c r="A393" s="44"/>
      <c r="B393" s="44"/>
    </row>
    <row r="394" spans="1:2">
      <c r="A394" s="44"/>
      <c r="B394" s="44"/>
    </row>
    <row r="395" spans="1:2">
      <c r="A395" s="44"/>
      <c r="B395" s="44"/>
    </row>
    <row r="396" spans="1:2">
      <c r="A396" s="44"/>
      <c r="B396" s="44"/>
    </row>
    <row r="397" spans="1:2">
      <c r="A397" s="44"/>
      <c r="B397" s="44"/>
    </row>
    <row r="398" spans="1:2">
      <c r="A398" s="44"/>
      <c r="B398" s="44"/>
    </row>
    <row r="399" spans="1:2">
      <c r="A399" s="44"/>
      <c r="B399" s="44"/>
    </row>
    <row r="400" spans="1:2">
      <c r="A400" s="44"/>
      <c r="B400" s="44"/>
    </row>
    <row r="401" spans="1:2">
      <c r="A401" s="44"/>
      <c r="B401" s="44"/>
    </row>
    <row r="402" spans="1:2">
      <c r="A402" s="44"/>
      <c r="B402" s="44"/>
    </row>
    <row r="403" spans="1:2">
      <c r="A403" s="44"/>
      <c r="B403" s="44"/>
    </row>
    <row r="404" spans="1:2">
      <c r="A404" s="44"/>
      <c r="B404" s="44"/>
    </row>
    <row r="405" spans="1:2">
      <c r="A405" s="44"/>
      <c r="B405" s="44"/>
    </row>
    <row r="406" spans="1:2">
      <c r="A406" s="44"/>
      <c r="B406" s="44"/>
    </row>
    <row r="407" spans="1:2">
      <c r="A407" s="44"/>
      <c r="B407" s="44"/>
    </row>
    <row r="408" spans="1:2">
      <c r="A408" s="44"/>
      <c r="B408" s="44"/>
    </row>
    <row r="409" spans="1:2">
      <c r="A409" s="44"/>
      <c r="B409" s="44"/>
    </row>
    <row r="410" spans="1:2">
      <c r="A410" s="44"/>
      <c r="B410" s="44"/>
    </row>
    <row r="411" spans="1:2">
      <c r="A411" s="44"/>
      <c r="B411" s="44"/>
    </row>
    <row r="412" spans="1:2">
      <c r="A412" s="44"/>
      <c r="B412" s="44"/>
    </row>
    <row r="413" spans="1:2">
      <c r="A413" s="44"/>
      <c r="B413" s="44"/>
    </row>
    <row r="414" spans="1:2">
      <c r="A414" s="44"/>
      <c r="B414" s="44"/>
    </row>
    <row r="415" spans="1:2">
      <c r="A415" s="44"/>
      <c r="B415" s="44"/>
    </row>
    <row r="416" spans="1:2">
      <c r="A416" s="44"/>
      <c r="B416" s="44"/>
    </row>
    <row r="417" spans="1:2">
      <c r="A417" s="44"/>
      <c r="B417" s="44"/>
    </row>
    <row r="418" spans="1:2">
      <c r="A418" s="44"/>
      <c r="B418" s="44"/>
    </row>
    <row r="419" spans="1:2">
      <c r="A419" s="44"/>
      <c r="B419" s="44"/>
    </row>
    <row r="420" spans="1:2">
      <c r="A420" s="44"/>
      <c r="B420" s="44"/>
    </row>
    <row r="421" spans="1:2">
      <c r="A421" s="44"/>
      <c r="B421" s="44"/>
    </row>
    <row r="422" spans="1:2">
      <c r="A422" s="44"/>
      <c r="B422" s="44"/>
    </row>
    <row r="423" spans="1:2">
      <c r="A423" s="44"/>
      <c r="B423" s="44"/>
    </row>
    <row r="424" spans="1:2">
      <c r="A424" s="44"/>
      <c r="B424" s="44"/>
    </row>
    <row r="425" spans="1:2">
      <c r="A425" s="44"/>
      <c r="B425" s="44"/>
    </row>
    <row r="426" spans="1:2">
      <c r="A426" s="44"/>
      <c r="B426" s="44"/>
    </row>
    <row r="427" spans="1:2">
      <c r="A427" s="44"/>
      <c r="B427" s="44"/>
    </row>
    <row r="428" spans="1:2">
      <c r="A428" s="44"/>
      <c r="B428" s="44"/>
    </row>
    <row r="429" spans="1:2">
      <c r="A429" s="44"/>
      <c r="B429" s="44"/>
    </row>
    <row r="430" spans="1:2">
      <c r="A430" s="44"/>
      <c r="B430" s="44"/>
    </row>
    <row r="431" spans="1:2">
      <c r="A431" s="44"/>
      <c r="B431" s="44"/>
    </row>
    <row r="432" spans="1:2">
      <c r="A432" s="44"/>
      <c r="B432" s="44"/>
    </row>
    <row r="433" spans="1:2">
      <c r="A433" s="44"/>
      <c r="B433" s="44"/>
    </row>
    <row r="434" spans="1:2">
      <c r="A434" s="44"/>
      <c r="B434" s="44"/>
    </row>
    <row r="435" spans="1:2">
      <c r="A435" s="44"/>
      <c r="B435" s="44"/>
    </row>
    <row r="436" spans="1:2">
      <c r="A436" s="44"/>
      <c r="B436" s="44"/>
    </row>
    <row r="437" spans="1:2">
      <c r="A437" s="44"/>
      <c r="B437" s="44"/>
    </row>
    <row r="438" spans="1:2">
      <c r="A438" s="44"/>
      <c r="B438" s="44"/>
    </row>
    <row r="439" spans="1:2">
      <c r="A439" s="44"/>
      <c r="B439" s="44"/>
    </row>
    <row r="440" spans="1:2">
      <c r="A440" s="44"/>
      <c r="B440" s="44"/>
    </row>
    <row r="441" spans="1:2">
      <c r="A441" s="44"/>
      <c r="B441" s="44"/>
    </row>
    <row r="442" spans="1:2">
      <c r="A442" s="44"/>
      <c r="B442" s="44"/>
    </row>
    <row r="443" spans="1:2">
      <c r="A443" s="44"/>
      <c r="B443" s="44"/>
    </row>
    <row r="444" spans="1:2">
      <c r="A444" s="44"/>
      <c r="B444" s="44"/>
    </row>
    <row r="445" spans="1:2">
      <c r="A445" s="44"/>
      <c r="B445" s="44"/>
    </row>
    <row r="446" spans="1:2">
      <c r="A446" s="44"/>
      <c r="B446" s="44"/>
    </row>
    <row r="447" spans="1:2">
      <c r="A447" s="44"/>
      <c r="B447" s="44"/>
    </row>
    <row r="448" spans="1:2">
      <c r="A448" s="44"/>
      <c r="B448" s="44"/>
    </row>
    <row r="449" spans="1:2">
      <c r="A449" s="44"/>
      <c r="B449" s="44"/>
    </row>
    <row r="450" spans="1:2">
      <c r="A450" s="44"/>
      <c r="B450" s="44"/>
    </row>
    <row r="451" spans="1:2">
      <c r="A451" s="44"/>
      <c r="B451" s="44"/>
    </row>
    <row r="452" spans="1:2">
      <c r="A452" s="44"/>
      <c r="B452" s="44"/>
    </row>
    <row r="453" spans="1:2">
      <c r="A453" s="44"/>
      <c r="B453" s="44"/>
    </row>
    <row r="454" spans="1:2">
      <c r="A454" s="44"/>
      <c r="B454" s="44"/>
    </row>
    <row r="455" spans="1:2">
      <c r="A455" s="44"/>
      <c r="B455" s="44"/>
    </row>
    <row r="456" spans="1:2">
      <c r="A456" s="44"/>
      <c r="B456" s="44"/>
    </row>
    <row r="457" spans="1:2">
      <c r="A457" s="44"/>
      <c r="B457" s="44"/>
    </row>
    <row r="458" spans="1:2">
      <c r="A458" s="44"/>
      <c r="B458" s="44"/>
    </row>
    <row r="459" spans="1:2">
      <c r="A459" s="44"/>
      <c r="B459" s="44"/>
    </row>
    <row r="460" spans="1:2">
      <c r="A460" s="44"/>
      <c r="B460" s="44"/>
    </row>
    <row r="461" spans="1:2">
      <c r="A461" s="44"/>
      <c r="B461" s="44"/>
    </row>
    <row r="462" spans="1:2">
      <c r="A462" s="44"/>
      <c r="B462" s="44"/>
    </row>
    <row r="463" spans="1:2">
      <c r="A463" s="44"/>
      <c r="B463" s="44"/>
    </row>
    <row r="464" spans="1:2">
      <c r="A464" s="44"/>
      <c r="B464" s="44"/>
    </row>
    <row r="465" spans="1:2">
      <c r="A465" s="44"/>
      <c r="B465" s="44"/>
    </row>
    <row r="466" spans="1:2">
      <c r="A466" s="44"/>
      <c r="B466" s="44"/>
    </row>
    <row r="467" spans="1:2">
      <c r="A467" s="44"/>
      <c r="B467" s="44"/>
    </row>
    <row r="468" spans="1:2">
      <c r="A468" s="44"/>
      <c r="B468" s="44"/>
    </row>
    <row r="469" spans="1:2">
      <c r="A469" s="44"/>
      <c r="B469" s="44"/>
    </row>
    <row r="470" spans="1:2">
      <c r="A470" s="44"/>
      <c r="B470" s="44"/>
    </row>
    <row r="471" spans="1:2">
      <c r="A471" s="44"/>
      <c r="B471" s="44"/>
    </row>
    <row r="472" spans="1:2">
      <c r="A472" s="44"/>
      <c r="B472" s="44"/>
    </row>
    <row r="473" spans="1:2">
      <c r="A473" s="44"/>
      <c r="B473" s="44"/>
    </row>
    <row r="474" spans="1:2">
      <c r="A474" s="44"/>
      <c r="B474" s="44"/>
    </row>
    <row r="475" spans="1:2">
      <c r="A475" s="44"/>
      <c r="B475" s="44"/>
    </row>
    <row r="476" spans="1:2">
      <c r="A476" s="44"/>
      <c r="B476" s="44"/>
    </row>
    <row r="477" spans="1:2">
      <c r="A477" s="44"/>
      <c r="B477" s="44"/>
    </row>
    <row r="478" spans="1:2">
      <c r="A478" s="44"/>
      <c r="B478" s="44"/>
    </row>
    <row r="479" spans="1:2">
      <c r="A479" s="44"/>
      <c r="B479" s="44"/>
    </row>
    <row r="480" spans="1:2">
      <c r="A480" s="44"/>
      <c r="B480" s="44"/>
    </row>
    <row r="481" spans="1:2">
      <c r="A481" s="44"/>
      <c r="B481" s="44"/>
    </row>
    <row r="482" spans="1:2">
      <c r="A482" s="44"/>
      <c r="B482" s="44"/>
    </row>
    <row r="483" spans="1:2">
      <c r="A483" s="44"/>
      <c r="B483" s="44"/>
    </row>
    <row r="484" spans="1:2">
      <c r="A484" s="44"/>
      <c r="B484" s="44"/>
    </row>
    <row r="485" spans="1:2">
      <c r="A485" s="44"/>
      <c r="B485" s="44"/>
    </row>
    <row r="486" spans="1:2">
      <c r="A486" s="44"/>
      <c r="B486" s="44"/>
    </row>
    <row r="487" spans="1:2">
      <c r="A487" s="44"/>
      <c r="B487" s="44"/>
    </row>
    <row r="488" spans="1:2">
      <c r="A488" s="44"/>
      <c r="B488" s="44"/>
    </row>
    <row r="489" spans="1:2">
      <c r="A489" s="44"/>
      <c r="B489" s="44"/>
    </row>
    <row r="490" spans="1:2">
      <c r="A490" s="44"/>
      <c r="B490" s="44"/>
    </row>
    <row r="491" spans="1:2">
      <c r="A491" s="44"/>
      <c r="B491" s="44"/>
    </row>
    <row r="492" spans="1:2">
      <c r="A492" s="44"/>
      <c r="B492" s="44"/>
    </row>
    <row r="493" spans="1:2">
      <c r="A493" s="44"/>
      <c r="B493" s="44"/>
    </row>
    <row r="494" spans="1:2">
      <c r="A494" s="44"/>
      <c r="B494" s="44"/>
    </row>
    <row r="495" spans="1:2">
      <c r="A495" s="44"/>
      <c r="B495" s="44"/>
    </row>
    <row r="496" spans="1:2">
      <c r="A496" s="44"/>
      <c r="B496" s="44"/>
    </row>
    <row r="497" spans="1:2">
      <c r="A497" s="44"/>
      <c r="B497" s="44"/>
    </row>
    <row r="498" spans="1:2">
      <c r="A498" s="44"/>
      <c r="B498" s="44"/>
    </row>
    <row r="499" spans="1:2">
      <c r="A499" s="44"/>
      <c r="B499" s="44"/>
    </row>
    <row r="500" spans="1:2">
      <c r="A500" s="44"/>
      <c r="B500" s="44"/>
    </row>
    <row r="501" spans="1:2">
      <c r="A501" s="44"/>
      <c r="B501" s="44"/>
    </row>
    <row r="502" spans="1:2">
      <c r="A502" s="44"/>
      <c r="B502" s="44"/>
    </row>
    <row r="503" spans="1:2">
      <c r="A503" s="44"/>
      <c r="B503" s="44"/>
    </row>
    <row r="504" spans="1:2">
      <c r="A504" s="44"/>
      <c r="B504" s="44"/>
    </row>
    <row r="505" spans="1:2">
      <c r="A505" s="44"/>
      <c r="B505" s="44"/>
    </row>
    <row r="506" spans="1:2">
      <c r="A506" s="44"/>
      <c r="B506" s="44"/>
    </row>
    <row r="507" spans="1:2">
      <c r="A507" s="44"/>
      <c r="B507" s="44"/>
    </row>
    <row r="508" spans="1:2">
      <c r="A508" s="44"/>
      <c r="B508" s="44"/>
    </row>
    <row r="509" spans="1:2">
      <c r="A509" s="44"/>
      <c r="B509" s="44"/>
    </row>
    <row r="510" spans="1:2">
      <c r="A510" s="44"/>
      <c r="B510" s="44"/>
    </row>
    <row r="511" spans="1:2">
      <c r="A511" s="44"/>
      <c r="B511" s="44"/>
    </row>
    <row r="512" spans="1:2">
      <c r="A512" s="44"/>
      <c r="B512" s="44"/>
    </row>
    <row r="513" spans="1:2">
      <c r="A513" s="44"/>
      <c r="B513" s="44"/>
    </row>
    <row r="514" spans="1:2">
      <c r="A514" s="44"/>
      <c r="B514" s="44"/>
    </row>
    <row r="515" spans="1:2">
      <c r="A515" s="44"/>
      <c r="B515" s="44"/>
    </row>
    <row r="516" spans="1:2">
      <c r="A516" s="44"/>
      <c r="B516" s="44"/>
    </row>
    <row r="517" spans="1:2">
      <c r="A517" s="44"/>
      <c r="B517" s="44"/>
    </row>
    <row r="518" spans="1:2">
      <c r="A518" s="44"/>
      <c r="B518" s="44"/>
    </row>
    <row r="519" spans="1:2">
      <c r="A519" s="44"/>
      <c r="B519" s="44"/>
    </row>
    <row r="520" spans="1:2">
      <c r="A520" s="44"/>
      <c r="B520" s="44"/>
    </row>
    <row r="521" spans="1:2">
      <c r="A521" s="44"/>
      <c r="B521" s="44"/>
    </row>
    <row r="522" spans="1:2">
      <c r="A522" s="44"/>
      <c r="B522" s="44"/>
    </row>
    <row r="523" spans="1:2">
      <c r="A523" s="44"/>
      <c r="B523" s="44"/>
    </row>
    <row r="524" spans="1:2">
      <c r="A524" s="44"/>
      <c r="B524" s="44"/>
    </row>
    <row r="525" spans="1:2">
      <c r="A525" s="44"/>
      <c r="B525" s="44"/>
    </row>
    <row r="526" spans="1:2">
      <c r="A526" s="44"/>
      <c r="B526" s="44"/>
    </row>
    <row r="527" spans="1:2">
      <c r="A527" s="44"/>
      <c r="B527" s="44"/>
    </row>
    <row r="528" spans="1:2">
      <c r="A528" s="44"/>
      <c r="B528" s="44"/>
    </row>
    <row r="529" spans="1:2">
      <c r="A529" s="44"/>
      <c r="B529" s="44"/>
    </row>
    <row r="530" spans="1:2">
      <c r="A530" s="44"/>
      <c r="B530" s="44"/>
    </row>
    <row r="531" spans="1:2">
      <c r="A531" s="44"/>
      <c r="B531" s="44"/>
    </row>
    <row r="532" spans="1:2">
      <c r="A532" s="44"/>
      <c r="B532" s="44"/>
    </row>
    <row r="533" spans="1:2">
      <c r="A533" s="44"/>
      <c r="B533" s="44"/>
    </row>
    <row r="534" spans="1:2">
      <c r="A534" s="44"/>
      <c r="B534" s="44"/>
    </row>
    <row r="535" spans="1:2">
      <c r="A535" s="44"/>
      <c r="B535" s="44"/>
    </row>
    <row r="536" spans="1:2">
      <c r="A536" s="44"/>
      <c r="B536" s="44"/>
    </row>
    <row r="537" spans="1:2">
      <c r="A537" s="44"/>
      <c r="B537" s="44"/>
    </row>
    <row r="538" spans="1:2">
      <c r="A538" s="44"/>
      <c r="B538" s="44"/>
    </row>
    <row r="539" spans="1:2">
      <c r="A539" s="44"/>
      <c r="B539" s="44"/>
    </row>
    <row r="540" spans="1:2">
      <c r="A540" s="44"/>
      <c r="B540" s="44"/>
    </row>
    <row r="541" spans="1:2">
      <c r="A541" s="44"/>
      <c r="B541" s="44"/>
    </row>
    <row r="542" spans="1:2">
      <c r="A542" s="44"/>
      <c r="B542" s="44"/>
    </row>
    <row r="543" spans="1:2">
      <c r="A543" s="44"/>
      <c r="B543" s="44"/>
    </row>
    <row r="544" spans="1:2">
      <c r="A544" s="44"/>
      <c r="B544" s="44"/>
    </row>
    <row r="545" spans="1:2">
      <c r="A545" s="44"/>
      <c r="B545" s="44"/>
    </row>
    <row r="546" spans="1:2">
      <c r="A546" s="44"/>
      <c r="B546" s="44"/>
    </row>
    <row r="547" spans="1:2">
      <c r="A547" s="44"/>
      <c r="B547" s="44"/>
    </row>
    <row r="548" spans="1:2">
      <c r="A548" s="44"/>
      <c r="B548" s="44"/>
    </row>
    <row r="549" spans="1:2">
      <c r="A549" s="44"/>
      <c r="B549" s="44"/>
    </row>
    <row r="550" spans="1:2">
      <c r="A550" s="44"/>
      <c r="B550" s="44"/>
    </row>
    <row r="551" spans="1:2">
      <c r="A551" s="44"/>
      <c r="B551" s="44"/>
    </row>
    <row r="552" spans="1:2">
      <c r="A552" s="44"/>
      <c r="B552" s="44"/>
    </row>
    <row r="553" spans="1:2">
      <c r="A553" s="44"/>
      <c r="B553" s="44"/>
    </row>
    <row r="554" spans="1:2">
      <c r="A554" s="44"/>
      <c r="B554" s="44"/>
    </row>
    <row r="555" spans="1:2">
      <c r="A555" s="44"/>
      <c r="B555" s="44"/>
    </row>
    <row r="556" spans="1:2">
      <c r="A556" s="44"/>
      <c r="B556" s="44"/>
    </row>
    <row r="557" spans="1:2">
      <c r="A557" s="44"/>
      <c r="B557" s="44"/>
    </row>
    <row r="558" spans="1:2">
      <c r="A558" s="44"/>
      <c r="B558" s="44"/>
    </row>
    <row r="559" spans="1:2">
      <c r="A559" s="44"/>
      <c r="B559" s="44"/>
    </row>
    <row r="560" spans="1:2">
      <c r="A560" s="44"/>
      <c r="B560" s="44"/>
    </row>
    <row r="561" spans="1:2">
      <c r="A561" s="44"/>
      <c r="B561" s="44"/>
    </row>
    <row r="562" spans="1:2">
      <c r="A562" s="44"/>
      <c r="B562" s="44"/>
    </row>
    <row r="563" spans="1:2">
      <c r="A563" s="44"/>
      <c r="B563" s="44"/>
    </row>
    <row r="564" spans="1:2">
      <c r="A564" s="44"/>
      <c r="B564" s="44"/>
    </row>
    <row r="565" spans="1:2">
      <c r="A565" s="44"/>
      <c r="B565" s="44"/>
    </row>
    <row r="566" spans="1:2">
      <c r="A566" s="44"/>
      <c r="B566" s="44"/>
    </row>
    <row r="567" spans="1:2">
      <c r="A567" s="44"/>
      <c r="B567" s="44"/>
    </row>
    <row r="568" spans="1:2">
      <c r="A568" s="44"/>
      <c r="B568" s="44"/>
    </row>
    <row r="569" spans="1:2">
      <c r="A569" s="44"/>
      <c r="B569" s="44"/>
    </row>
    <row r="570" spans="1:2">
      <c r="A570" s="44"/>
      <c r="B570" s="44"/>
    </row>
    <row r="571" spans="1:2">
      <c r="A571" s="44"/>
      <c r="B571" s="44"/>
    </row>
    <row r="572" spans="1:2">
      <c r="A572" s="44"/>
      <c r="B572" s="44"/>
    </row>
    <row r="573" spans="1:2">
      <c r="A573" s="44"/>
      <c r="B573" s="44"/>
    </row>
    <row r="574" spans="1:2">
      <c r="A574" s="44"/>
      <c r="B574" s="44"/>
    </row>
    <row r="575" spans="1:2">
      <c r="A575" s="44"/>
      <c r="B575" s="44"/>
    </row>
    <row r="576" spans="1:2">
      <c r="A576" s="44"/>
      <c r="B576" s="44"/>
    </row>
    <row r="577" spans="1:2">
      <c r="A577" s="44"/>
      <c r="B577" s="44"/>
    </row>
    <row r="578" spans="1:2">
      <c r="A578" s="44"/>
      <c r="B578" s="44"/>
    </row>
    <row r="579" spans="1:2">
      <c r="A579" s="44"/>
      <c r="B579" s="44"/>
    </row>
    <row r="580" spans="1:2">
      <c r="A580" s="44"/>
      <c r="B580" s="44"/>
    </row>
    <row r="581" spans="1:2">
      <c r="A581" s="44"/>
      <c r="B581" s="44"/>
    </row>
    <row r="582" spans="1:2">
      <c r="A582" s="44"/>
      <c r="B582" s="44"/>
    </row>
    <row r="583" spans="1:2">
      <c r="A583" s="44"/>
      <c r="B583" s="44"/>
    </row>
    <row r="584" spans="1:2">
      <c r="A584" s="44"/>
      <c r="B584" s="44"/>
    </row>
    <row r="585" spans="1:2">
      <c r="A585" s="44"/>
      <c r="B585" s="44"/>
    </row>
    <row r="586" spans="1:2">
      <c r="A586" s="44"/>
      <c r="B586" s="44"/>
    </row>
    <row r="587" spans="1:2">
      <c r="A587" s="44"/>
      <c r="B587" s="44"/>
    </row>
    <row r="588" spans="1:2">
      <c r="A588" s="44"/>
      <c r="B588" s="44"/>
    </row>
    <row r="589" spans="1:2">
      <c r="A589" s="44"/>
      <c r="B589" s="44"/>
    </row>
    <row r="590" spans="1:2">
      <c r="A590" s="44"/>
      <c r="B590" s="44"/>
    </row>
    <row r="591" spans="1:2">
      <c r="A591" s="44"/>
      <c r="B591" s="44"/>
    </row>
    <row r="592" spans="1:2">
      <c r="A592" s="44"/>
      <c r="B592" s="44"/>
    </row>
    <row r="593" spans="1:2">
      <c r="A593" s="44"/>
      <c r="B593" s="44"/>
    </row>
    <row r="594" spans="1:2">
      <c r="A594" s="44"/>
      <c r="B594" s="44"/>
    </row>
    <row r="595" spans="1:2">
      <c r="A595" s="44"/>
      <c r="B595" s="44"/>
    </row>
    <row r="596" spans="1:2">
      <c r="A596" s="44"/>
      <c r="B596" s="44"/>
    </row>
    <row r="597" spans="1:2">
      <c r="A597" s="44"/>
      <c r="B597" s="44"/>
    </row>
    <row r="598" spans="1:2">
      <c r="A598" s="44"/>
      <c r="B598" s="44"/>
    </row>
    <row r="599" spans="1:2">
      <c r="A599" s="44"/>
      <c r="B599" s="44"/>
    </row>
    <row r="600" spans="1:2">
      <c r="A600" s="44"/>
      <c r="B600" s="44"/>
    </row>
    <row r="601" spans="1:2">
      <c r="A601" s="44"/>
      <c r="B601" s="44"/>
    </row>
    <row r="602" spans="1:2">
      <c r="A602" s="44"/>
      <c r="B602" s="44"/>
    </row>
    <row r="603" spans="1:2">
      <c r="A603" s="44"/>
      <c r="B603" s="44"/>
    </row>
    <row r="604" spans="1:2">
      <c r="A604" s="44"/>
      <c r="B604" s="44"/>
    </row>
    <row r="605" spans="1:2">
      <c r="A605" s="44"/>
      <c r="B605" s="44"/>
    </row>
    <row r="606" spans="1:2">
      <c r="A606" s="44"/>
      <c r="B606" s="44"/>
    </row>
    <row r="607" spans="1:2">
      <c r="A607" s="44"/>
      <c r="B607" s="44"/>
    </row>
    <row r="608" spans="1:2">
      <c r="A608" s="44"/>
      <c r="B608" s="44"/>
    </row>
    <row r="609" spans="1:2">
      <c r="A609" s="44"/>
      <c r="B609" s="44"/>
    </row>
    <row r="610" spans="1:2">
      <c r="A610" s="44"/>
      <c r="B610" s="44"/>
    </row>
    <row r="611" spans="1:2">
      <c r="A611" s="44"/>
      <c r="B611" s="44"/>
    </row>
    <row r="612" spans="1:2">
      <c r="A612" s="44"/>
      <c r="B612" s="44"/>
    </row>
    <row r="613" spans="1:2">
      <c r="A613" s="44"/>
      <c r="B613" s="44"/>
    </row>
    <row r="614" spans="1:2">
      <c r="A614" s="44"/>
      <c r="B614" s="44"/>
    </row>
    <row r="615" spans="1:2">
      <c r="A615" s="44"/>
      <c r="B615" s="44"/>
    </row>
    <row r="616" spans="1:2">
      <c r="A616" s="44"/>
      <c r="B616" s="44"/>
    </row>
    <row r="617" spans="1:2">
      <c r="A617" s="44"/>
      <c r="B617" s="44"/>
    </row>
    <row r="618" spans="1:2">
      <c r="A618" s="44"/>
      <c r="B618" s="44"/>
    </row>
    <row r="619" spans="1:2">
      <c r="A619" s="44"/>
      <c r="B619" s="44"/>
    </row>
    <row r="620" spans="1:2">
      <c r="A620" s="44"/>
      <c r="B620" s="44"/>
    </row>
    <row r="621" spans="1:2">
      <c r="A621" s="44"/>
      <c r="B621" s="44"/>
    </row>
    <row r="622" spans="1:2">
      <c r="A622" s="44"/>
      <c r="B622" s="44"/>
    </row>
    <row r="623" spans="1:2">
      <c r="A623" s="44"/>
      <c r="B623" s="44"/>
    </row>
    <row r="624" spans="1:2">
      <c r="A624" s="44"/>
      <c r="B624" s="44"/>
    </row>
    <row r="625" spans="1:2">
      <c r="A625" s="44"/>
      <c r="B625" s="44"/>
    </row>
    <row r="626" spans="1:2">
      <c r="A626" s="44"/>
      <c r="B626" s="44"/>
    </row>
    <row r="627" spans="1:2">
      <c r="A627" s="44"/>
      <c r="B627" s="44"/>
    </row>
    <row r="628" spans="1:2">
      <c r="A628" s="44"/>
      <c r="B628" s="44"/>
    </row>
    <row r="629" spans="1:2">
      <c r="A629" s="44"/>
      <c r="B629" s="44"/>
    </row>
    <row r="630" spans="1:2">
      <c r="A630" s="44"/>
      <c r="B630" s="44"/>
    </row>
    <row r="631" spans="1:2">
      <c r="A631" s="44"/>
      <c r="B631" s="44"/>
    </row>
    <row r="632" spans="1:2">
      <c r="A632" s="44"/>
      <c r="B632" s="44"/>
    </row>
    <row r="633" spans="1:2">
      <c r="A633" s="44"/>
      <c r="B633" s="44"/>
    </row>
    <row r="634" spans="1:2">
      <c r="A634" s="44"/>
      <c r="B634" s="44"/>
    </row>
    <row r="635" spans="1:2">
      <c r="A635" s="44"/>
      <c r="B635" s="44"/>
    </row>
    <row r="636" spans="1:2">
      <c r="A636" s="44"/>
      <c r="B636" s="44"/>
    </row>
    <row r="637" spans="1:2">
      <c r="A637" s="44"/>
      <c r="B637" s="44"/>
    </row>
    <row r="638" spans="1:2">
      <c r="A638" s="44"/>
      <c r="B638" s="44"/>
    </row>
    <row r="639" spans="1:2">
      <c r="A639" s="44"/>
      <c r="B639" s="44"/>
    </row>
    <row r="640" spans="1:2">
      <c r="A640" s="44"/>
      <c r="B640" s="44"/>
    </row>
    <row r="641" spans="1:2">
      <c r="A641" s="44"/>
      <c r="B641" s="44"/>
    </row>
    <row r="642" spans="1:2">
      <c r="A642" s="44"/>
      <c r="B642" s="44"/>
    </row>
    <row r="643" spans="1:2">
      <c r="A643" s="44"/>
      <c r="B643" s="44"/>
    </row>
    <row r="644" spans="1:2">
      <c r="A644" s="44"/>
      <c r="B644" s="44"/>
    </row>
    <row r="645" spans="1:2">
      <c r="A645" s="44"/>
      <c r="B645" s="44"/>
    </row>
    <row r="646" spans="1:2">
      <c r="A646" s="44"/>
      <c r="B646" s="44"/>
    </row>
    <row r="647" spans="1:2">
      <c r="A647" s="44"/>
      <c r="B647" s="44"/>
    </row>
    <row r="648" spans="1:2">
      <c r="A648" s="44"/>
      <c r="B648" s="44"/>
    </row>
    <row r="649" spans="1:2">
      <c r="A649" s="44"/>
      <c r="B649" s="44"/>
    </row>
    <row r="650" spans="1:2">
      <c r="A650" s="44"/>
      <c r="B650" s="44"/>
    </row>
    <row r="651" spans="1:2">
      <c r="A651" s="44"/>
      <c r="B651" s="44"/>
    </row>
    <row r="652" spans="1:2">
      <c r="A652" s="44"/>
      <c r="B652" s="44"/>
    </row>
    <row r="653" spans="1:2">
      <c r="A653" s="44"/>
      <c r="B653" s="44"/>
    </row>
    <row r="654" spans="1:2">
      <c r="A654" s="44"/>
      <c r="B654" s="44"/>
    </row>
    <row r="655" spans="1:2">
      <c r="A655" s="44"/>
      <c r="B655" s="44"/>
    </row>
    <row r="656" spans="1:2">
      <c r="A656" s="44"/>
      <c r="B656" s="44"/>
    </row>
    <row r="657" spans="1:2">
      <c r="A657" s="44"/>
      <c r="B657" s="44"/>
    </row>
    <row r="658" spans="1:2">
      <c r="A658" s="44"/>
      <c r="B658" s="44"/>
    </row>
    <row r="659" spans="1:2">
      <c r="A659" s="44"/>
      <c r="B659" s="44"/>
    </row>
    <row r="660" spans="1:2">
      <c r="A660" s="44"/>
      <c r="B660" s="44"/>
    </row>
    <row r="661" spans="1:2">
      <c r="A661" s="44"/>
      <c r="B661" s="44"/>
    </row>
    <row r="662" spans="1:2">
      <c r="A662" s="44"/>
      <c r="B662" s="44"/>
    </row>
    <row r="663" spans="1:2">
      <c r="A663" s="44"/>
      <c r="B663" s="44"/>
    </row>
    <row r="664" spans="1:2">
      <c r="A664" s="44"/>
      <c r="B664" s="44"/>
    </row>
    <row r="665" spans="1:2">
      <c r="A665" s="44"/>
      <c r="B665" s="44"/>
    </row>
    <row r="666" spans="1:2">
      <c r="A666" s="44"/>
      <c r="B666" s="44"/>
    </row>
    <row r="667" spans="1:2">
      <c r="A667" s="44"/>
      <c r="B667" s="44"/>
    </row>
    <row r="668" spans="1:2">
      <c r="A668" s="44"/>
      <c r="B668" s="44"/>
    </row>
    <row r="669" spans="1:2">
      <c r="A669" s="44"/>
      <c r="B669" s="44"/>
    </row>
    <row r="670" spans="1:2">
      <c r="A670" s="44"/>
      <c r="B670" s="44"/>
    </row>
    <row r="671" spans="1:2">
      <c r="A671" s="44"/>
      <c r="B671" s="44"/>
    </row>
    <row r="672" spans="1:2">
      <c r="A672" s="44"/>
      <c r="B672" s="44"/>
    </row>
    <row r="673" spans="1:2">
      <c r="A673" s="44"/>
      <c r="B673" s="44"/>
    </row>
    <row r="674" spans="1:2">
      <c r="A674" s="44"/>
      <c r="B674" s="44"/>
    </row>
    <row r="675" spans="1:2">
      <c r="A675" s="44"/>
      <c r="B675" s="44"/>
    </row>
    <row r="676" spans="1:2">
      <c r="A676" s="44"/>
      <c r="B676" s="44"/>
    </row>
    <row r="677" spans="1:2">
      <c r="A677" s="44"/>
      <c r="B677" s="44"/>
    </row>
    <row r="678" spans="1:2">
      <c r="A678" s="44"/>
      <c r="B678" s="44"/>
    </row>
    <row r="679" spans="1:2">
      <c r="A679" s="44"/>
      <c r="B679" s="44"/>
    </row>
    <row r="680" spans="1:2">
      <c r="A680" s="44"/>
      <c r="B680" s="44"/>
    </row>
    <row r="681" spans="1:2">
      <c r="A681" s="44"/>
      <c r="B681" s="44"/>
    </row>
    <row r="682" spans="1:2">
      <c r="A682" s="44"/>
      <c r="B682" s="44"/>
    </row>
    <row r="683" spans="1:2">
      <c r="A683" s="44"/>
      <c r="B683" s="44"/>
    </row>
    <row r="684" spans="1:2">
      <c r="A684" s="44"/>
      <c r="B684" s="44"/>
    </row>
    <row r="685" spans="1:2">
      <c r="A685" s="44"/>
      <c r="B685" s="44"/>
    </row>
    <row r="686" spans="1:2">
      <c r="A686" s="44"/>
      <c r="B686" s="44"/>
    </row>
    <row r="687" spans="1:2">
      <c r="A687" s="44"/>
      <c r="B687" s="44"/>
    </row>
    <row r="688" spans="1:2">
      <c r="A688" s="44"/>
      <c r="B688" s="44"/>
    </row>
    <row r="689" spans="1:2">
      <c r="A689" s="44"/>
      <c r="B689" s="44"/>
    </row>
    <row r="690" spans="1:2">
      <c r="A690" s="44"/>
      <c r="B690" s="44"/>
    </row>
    <row r="691" spans="1:2">
      <c r="A691" s="44"/>
      <c r="B691" s="44"/>
    </row>
    <row r="692" spans="1:2">
      <c r="A692" s="44"/>
      <c r="B692" s="44"/>
    </row>
    <row r="693" spans="1:2">
      <c r="A693" s="44"/>
      <c r="B693" s="44"/>
    </row>
    <row r="694" spans="1:2">
      <c r="A694" s="44"/>
      <c r="B694" s="44"/>
    </row>
    <row r="695" spans="1:2">
      <c r="A695" s="44"/>
      <c r="B695" s="44"/>
    </row>
    <row r="696" spans="1:2">
      <c r="A696" s="44"/>
      <c r="B696" s="44"/>
    </row>
    <row r="697" spans="1:2">
      <c r="A697" s="44"/>
      <c r="B697" s="44"/>
    </row>
    <row r="698" spans="1:2">
      <c r="A698" s="44"/>
      <c r="B698" s="44"/>
    </row>
    <row r="699" spans="1:2">
      <c r="A699" s="44"/>
      <c r="B699" s="44"/>
    </row>
    <row r="700" spans="1:2">
      <c r="A700" s="44"/>
      <c r="B700" s="44"/>
    </row>
    <row r="701" spans="1:2">
      <c r="A701" s="44"/>
      <c r="B701" s="44"/>
    </row>
    <row r="702" spans="1:2">
      <c r="A702" s="44"/>
      <c r="B702" s="44"/>
    </row>
    <row r="703" spans="1:2">
      <c r="A703" s="44"/>
      <c r="B703" s="44"/>
    </row>
    <row r="704" spans="1:2">
      <c r="A704" s="44"/>
      <c r="B704" s="44"/>
    </row>
    <row r="705" spans="1:2">
      <c r="A705" s="44"/>
      <c r="B705" s="44"/>
    </row>
    <row r="706" spans="1:2">
      <c r="A706" s="44"/>
      <c r="B706" s="44"/>
    </row>
    <row r="707" spans="1:2">
      <c r="A707" s="44"/>
      <c r="B707" s="44"/>
    </row>
    <row r="708" spans="1:2">
      <c r="A708" s="44"/>
      <c r="B708" s="44"/>
    </row>
    <row r="709" spans="1:2">
      <c r="A709" s="44"/>
      <c r="B709" s="44"/>
    </row>
    <row r="710" spans="1:2">
      <c r="A710" s="44"/>
      <c r="B710" s="44"/>
    </row>
    <row r="711" spans="1:2">
      <c r="A711" s="44"/>
      <c r="B711" s="44"/>
    </row>
    <row r="712" spans="1:2">
      <c r="A712" s="44"/>
      <c r="B712" s="44"/>
    </row>
    <row r="713" spans="1:2">
      <c r="A713" s="44"/>
      <c r="B713" s="44"/>
    </row>
    <row r="714" spans="1:2">
      <c r="A714" s="44"/>
      <c r="B714" s="44"/>
    </row>
    <row r="715" spans="1:2">
      <c r="A715" s="44"/>
      <c r="B715" s="44"/>
    </row>
    <row r="716" spans="1:2">
      <c r="A716" s="44"/>
      <c r="B716" s="44"/>
    </row>
    <row r="717" spans="1:2">
      <c r="A717" s="44"/>
      <c r="B717" s="44"/>
    </row>
    <row r="718" spans="1:2">
      <c r="A718" s="44"/>
      <c r="B718" s="44"/>
    </row>
    <row r="719" spans="1:2">
      <c r="A719" s="44"/>
      <c r="B719" s="44"/>
    </row>
    <row r="720" spans="1:2">
      <c r="A720" s="44"/>
      <c r="B720" s="44"/>
    </row>
    <row r="721" spans="1:2">
      <c r="A721" s="44"/>
      <c r="B721" s="44"/>
    </row>
    <row r="722" spans="1:2">
      <c r="A722" s="44"/>
      <c r="B722" s="44"/>
    </row>
    <row r="723" spans="1:2">
      <c r="A723" s="44"/>
      <c r="B723" s="44"/>
    </row>
    <row r="724" spans="1:2">
      <c r="A724" s="44"/>
      <c r="B724" s="44"/>
    </row>
    <row r="725" spans="1:2">
      <c r="A725" s="44"/>
      <c r="B725" s="44"/>
    </row>
    <row r="726" spans="1:2">
      <c r="A726" s="44"/>
      <c r="B726" s="44"/>
    </row>
    <row r="727" spans="1:2">
      <c r="A727" s="44"/>
      <c r="B727" s="44"/>
    </row>
    <row r="728" spans="1:2">
      <c r="A728" s="44"/>
      <c r="B728" s="44"/>
    </row>
    <row r="729" spans="1:2">
      <c r="A729" s="44"/>
      <c r="B729" s="44"/>
    </row>
    <row r="730" spans="1:2">
      <c r="A730" s="44"/>
      <c r="B730" s="44"/>
    </row>
    <row r="731" spans="1:2">
      <c r="A731" s="44"/>
      <c r="B731" s="44"/>
    </row>
    <row r="732" spans="1:2">
      <c r="A732" s="44"/>
      <c r="B732" s="44"/>
    </row>
    <row r="733" spans="1:2">
      <c r="A733" s="44"/>
      <c r="B733" s="44"/>
    </row>
    <row r="734" spans="1:2">
      <c r="A734" s="44"/>
      <c r="B734" s="44"/>
    </row>
    <row r="735" spans="1:2">
      <c r="A735" s="44"/>
      <c r="B735" s="44"/>
    </row>
    <row r="736" spans="1:2">
      <c r="A736" s="44"/>
      <c r="B736" s="44"/>
    </row>
    <row r="737" spans="1:2">
      <c r="A737" s="44"/>
      <c r="B737" s="44"/>
    </row>
    <row r="738" spans="1:2">
      <c r="A738" s="44"/>
      <c r="B738" s="44"/>
    </row>
    <row r="739" spans="1:2">
      <c r="A739" s="44"/>
      <c r="B739" s="44"/>
    </row>
    <row r="740" spans="1:2">
      <c r="A740" s="44"/>
      <c r="B740" s="44"/>
    </row>
    <row r="741" spans="1:2">
      <c r="A741" s="44"/>
      <c r="B741" s="44"/>
    </row>
    <row r="742" spans="1:2">
      <c r="A742" s="44"/>
      <c r="B742" s="44"/>
    </row>
    <row r="743" spans="1:2">
      <c r="A743" s="44"/>
      <c r="B743" s="44"/>
    </row>
    <row r="744" spans="1:2">
      <c r="A744" s="44"/>
      <c r="B744" s="44"/>
    </row>
    <row r="745" spans="1:2">
      <c r="A745" s="44"/>
      <c r="B745" s="44"/>
    </row>
    <row r="746" spans="1:2">
      <c r="A746" s="44"/>
      <c r="B746" s="44"/>
    </row>
    <row r="747" spans="1:2">
      <c r="A747" s="44"/>
      <c r="B747" s="44"/>
    </row>
    <row r="748" spans="1:2">
      <c r="A748" s="44"/>
      <c r="B748" s="44"/>
    </row>
    <row r="749" spans="1:2">
      <c r="A749" s="44"/>
      <c r="B749" s="44"/>
    </row>
    <row r="750" spans="1:2">
      <c r="A750" s="44"/>
      <c r="B750" s="44"/>
    </row>
    <row r="751" spans="1:2">
      <c r="A751" s="44"/>
      <c r="B751" s="44"/>
    </row>
    <row r="752" spans="1:2">
      <c r="A752" s="44"/>
      <c r="B752" s="44"/>
    </row>
    <row r="753" spans="1:2">
      <c r="A753" s="44"/>
      <c r="B753" s="44"/>
    </row>
    <row r="754" spans="1:2">
      <c r="A754" s="44"/>
      <c r="B754" s="44"/>
    </row>
    <row r="755" spans="1:2">
      <c r="A755" s="44"/>
      <c r="B755" s="44"/>
    </row>
    <row r="756" spans="1:2">
      <c r="A756" s="44"/>
      <c r="B756" s="44"/>
    </row>
    <row r="757" spans="1:2">
      <c r="A757" s="44"/>
      <c r="B757" s="44"/>
    </row>
    <row r="758" spans="1:2">
      <c r="A758" s="44"/>
      <c r="B758" s="44"/>
    </row>
    <row r="759" spans="1:2">
      <c r="A759" s="44"/>
      <c r="B759" s="44"/>
    </row>
    <row r="760" spans="1:2">
      <c r="A760" s="44"/>
      <c r="B760" s="44"/>
    </row>
    <row r="761" spans="1:2">
      <c r="A761" s="44"/>
      <c r="B761" s="44"/>
    </row>
    <row r="762" spans="1:2">
      <c r="A762" s="44"/>
      <c r="B762" s="44"/>
    </row>
    <row r="763" spans="1:2">
      <c r="A763" s="44"/>
      <c r="B763" s="44"/>
    </row>
    <row r="764" spans="1:2">
      <c r="A764" s="44"/>
      <c r="B764" s="44"/>
    </row>
    <row r="765" spans="1:2">
      <c r="A765" s="44"/>
      <c r="B765" s="44"/>
    </row>
    <row r="766" spans="1:2">
      <c r="A766" s="44"/>
      <c r="B766" s="44"/>
    </row>
    <row r="767" spans="1:2">
      <c r="A767" s="44"/>
      <c r="B767" s="44"/>
    </row>
    <row r="768" spans="1:2">
      <c r="A768" s="44"/>
      <c r="B768" s="44"/>
    </row>
    <row r="769" spans="1:2">
      <c r="A769" s="44"/>
      <c r="B769" s="44"/>
    </row>
    <row r="770" spans="1:2">
      <c r="A770" s="44"/>
      <c r="B770" s="44"/>
    </row>
    <row r="771" spans="1:2">
      <c r="A771" s="44"/>
      <c r="B771" s="44"/>
    </row>
    <row r="772" spans="1:2">
      <c r="A772" s="44"/>
      <c r="B772" s="44"/>
    </row>
    <row r="773" spans="1:2">
      <c r="A773" s="44"/>
      <c r="B773" s="44"/>
    </row>
    <row r="774" spans="1:2">
      <c r="A774" s="44"/>
      <c r="B774" s="44"/>
    </row>
    <row r="775" spans="1:2">
      <c r="A775" s="44"/>
      <c r="B775" s="44"/>
    </row>
    <row r="776" spans="1:2">
      <c r="A776" s="44"/>
      <c r="B776" s="44"/>
    </row>
    <row r="777" spans="1:2">
      <c r="A777" s="44"/>
      <c r="B777" s="44"/>
    </row>
    <row r="778" spans="1:2">
      <c r="A778" s="44"/>
      <c r="B778" s="44"/>
    </row>
    <row r="779" spans="1:2">
      <c r="A779" s="44"/>
      <c r="B779" s="44"/>
    </row>
    <row r="780" spans="1:2">
      <c r="A780" s="44"/>
      <c r="B780" s="44"/>
    </row>
    <row r="781" spans="1:2">
      <c r="A781" s="44"/>
      <c r="B781" s="44"/>
    </row>
    <row r="782" spans="1:2">
      <c r="A782" s="44"/>
      <c r="B782" s="44"/>
    </row>
    <row r="783" spans="1:2">
      <c r="A783" s="44"/>
      <c r="B783" s="44"/>
    </row>
    <row r="784" spans="1:2">
      <c r="A784" s="44"/>
      <c r="B784" s="44"/>
    </row>
    <row r="785" spans="1:2">
      <c r="A785" s="44"/>
      <c r="B785" s="44"/>
    </row>
    <row r="786" spans="1:2">
      <c r="A786" s="44"/>
      <c r="B786" s="44"/>
    </row>
    <row r="787" spans="1:2">
      <c r="A787" s="44"/>
      <c r="B787" s="44"/>
    </row>
    <row r="788" spans="1:2">
      <c r="A788" s="44"/>
      <c r="B788" s="44"/>
    </row>
    <row r="789" spans="1:2">
      <c r="A789" s="44"/>
      <c r="B789" s="44"/>
    </row>
    <row r="790" spans="1:2">
      <c r="A790" s="44"/>
      <c r="B790" s="44"/>
    </row>
    <row r="791" spans="1:2">
      <c r="A791" s="44"/>
      <c r="B791" s="44"/>
    </row>
    <row r="792" spans="1:2">
      <c r="A792" s="44"/>
      <c r="B792" s="44"/>
    </row>
    <row r="793" spans="1:2">
      <c r="A793" s="44"/>
      <c r="B793" s="44"/>
    </row>
    <row r="794" spans="1:2">
      <c r="A794" s="44"/>
      <c r="B794" s="44"/>
    </row>
    <row r="795" spans="1:2">
      <c r="A795" s="44"/>
      <c r="B795" s="44"/>
    </row>
    <row r="796" spans="1:2">
      <c r="A796" s="44"/>
      <c r="B796" s="44"/>
    </row>
    <row r="797" spans="1:2">
      <c r="A797" s="44"/>
      <c r="B797" s="44"/>
    </row>
    <row r="798" spans="1:2">
      <c r="A798" s="44"/>
      <c r="B798" s="44"/>
    </row>
    <row r="799" spans="1:2">
      <c r="A799" s="44"/>
      <c r="B799" s="44"/>
    </row>
    <row r="800" spans="1:2">
      <c r="A800" s="44"/>
      <c r="B800" s="44"/>
    </row>
    <row r="801" spans="1:2">
      <c r="A801" s="44"/>
      <c r="B801" s="44"/>
    </row>
    <row r="802" spans="1:2">
      <c r="A802" s="44"/>
      <c r="B802" s="44"/>
    </row>
    <row r="803" spans="1:2">
      <c r="A803" s="44"/>
      <c r="B803" s="44"/>
    </row>
    <row r="804" spans="1:2">
      <c r="A804" s="44"/>
      <c r="B804" s="44"/>
    </row>
    <row r="805" spans="1:2">
      <c r="A805" s="44"/>
      <c r="B805" s="44"/>
    </row>
    <row r="806" spans="1:2">
      <c r="A806" s="44"/>
      <c r="B806" s="44"/>
    </row>
    <row r="807" spans="1:2">
      <c r="A807" s="44"/>
      <c r="B807" s="44"/>
    </row>
    <row r="808" spans="1:2">
      <c r="A808" s="44"/>
      <c r="B808" s="44"/>
    </row>
    <row r="809" spans="1:2">
      <c r="A809" s="44"/>
      <c r="B809" s="44"/>
    </row>
    <row r="810" spans="1:2">
      <c r="A810" s="44"/>
      <c r="B810" s="44"/>
    </row>
    <row r="811" spans="1:2">
      <c r="A811" s="44"/>
      <c r="B811" s="44"/>
    </row>
    <row r="812" spans="1:2">
      <c r="A812" s="44"/>
      <c r="B812" s="44"/>
    </row>
    <row r="813" spans="1:2">
      <c r="A813" s="44"/>
      <c r="B813" s="44"/>
    </row>
    <row r="814" spans="1:2">
      <c r="A814" s="44"/>
      <c r="B814" s="44"/>
    </row>
    <row r="815" spans="1:2">
      <c r="A815" s="44"/>
      <c r="B815" s="44"/>
    </row>
    <row r="816" spans="1:2">
      <c r="A816" s="44"/>
      <c r="B816" s="44"/>
    </row>
    <row r="817" spans="1:2">
      <c r="A817" s="44"/>
      <c r="B817" s="44"/>
    </row>
    <row r="818" spans="1:2">
      <c r="A818" s="44"/>
      <c r="B818" s="44"/>
    </row>
    <row r="819" spans="1:2">
      <c r="A819" s="44"/>
      <c r="B819" s="44"/>
    </row>
    <row r="820" spans="1:2">
      <c r="A820" s="44"/>
      <c r="B820" s="44"/>
    </row>
    <row r="821" spans="1:2">
      <c r="A821" s="44"/>
      <c r="B821" s="44"/>
    </row>
    <row r="822" spans="1:2">
      <c r="A822" s="44"/>
      <c r="B822" s="44"/>
    </row>
    <row r="823" spans="1:2">
      <c r="A823" s="44"/>
      <c r="B823" s="44"/>
    </row>
    <row r="824" spans="1:2">
      <c r="A824" s="44"/>
      <c r="B824" s="44"/>
    </row>
    <row r="825" spans="1:2">
      <c r="A825" s="44"/>
      <c r="B825" s="44"/>
    </row>
    <row r="826" spans="1:2">
      <c r="A826" s="44"/>
      <c r="B826" s="44"/>
    </row>
    <row r="827" spans="1:2">
      <c r="A827" s="44"/>
      <c r="B827" s="44"/>
    </row>
    <row r="828" spans="1:2">
      <c r="A828" s="44"/>
      <c r="B828" s="44"/>
    </row>
    <row r="829" spans="1:2">
      <c r="A829" s="44"/>
      <c r="B829" s="44"/>
    </row>
    <row r="830" spans="1:2">
      <c r="A830" s="44"/>
      <c r="B830" s="44"/>
    </row>
    <row r="831" spans="1:2">
      <c r="A831" s="44"/>
      <c r="B831" s="44"/>
    </row>
    <row r="832" spans="1:2">
      <c r="A832" s="44"/>
      <c r="B832" s="44"/>
    </row>
    <row r="833" spans="1:2">
      <c r="A833" s="44"/>
      <c r="B833" s="44"/>
    </row>
    <row r="834" spans="1:2">
      <c r="A834" s="44"/>
      <c r="B834" s="44"/>
    </row>
    <row r="835" spans="1:2">
      <c r="A835" s="44"/>
      <c r="B835" s="44"/>
    </row>
    <row r="836" spans="1:2">
      <c r="A836" s="44"/>
      <c r="B836" s="44"/>
    </row>
    <row r="837" spans="1:2">
      <c r="A837" s="44"/>
      <c r="B837" s="44"/>
    </row>
    <row r="838" spans="1:2">
      <c r="A838" s="44"/>
      <c r="B838" s="44"/>
    </row>
    <row r="839" spans="1:2">
      <c r="A839" s="44"/>
      <c r="B839" s="44"/>
    </row>
    <row r="840" spans="1:2">
      <c r="A840" s="44"/>
      <c r="B840" s="44"/>
    </row>
    <row r="841" spans="1:2">
      <c r="A841" s="44"/>
      <c r="B841" s="44"/>
    </row>
    <row r="842" spans="1:2">
      <c r="A842" s="44"/>
      <c r="B842" s="44"/>
    </row>
    <row r="843" spans="1:2">
      <c r="A843" s="44"/>
      <c r="B843" s="44"/>
    </row>
    <row r="844" spans="1:2">
      <c r="A844" s="44"/>
      <c r="B844" s="44"/>
    </row>
    <row r="845" spans="1:2">
      <c r="A845" s="44"/>
      <c r="B845" s="44"/>
    </row>
    <row r="846" spans="1:2">
      <c r="A846" s="44"/>
      <c r="B846" s="44"/>
    </row>
    <row r="847" spans="1:2">
      <c r="A847" s="44"/>
      <c r="B847" s="44"/>
    </row>
    <row r="848" spans="1:2">
      <c r="A848" s="44"/>
      <c r="B848" s="44"/>
    </row>
    <row r="849" spans="1:2">
      <c r="A849" s="44"/>
      <c r="B849" s="44"/>
    </row>
    <row r="850" spans="1:2">
      <c r="A850" s="44"/>
      <c r="B850" s="44"/>
    </row>
    <row r="851" spans="1:2">
      <c r="A851" s="44"/>
      <c r="B851" s="44"/>
    </row>
    <row r="852" spans="1:2">
      <c r="A852" s="44"/>
      <c r="B852" s="44"/>
    </row>
    <row r="853" spans="1:2">
      <c r="A853" s="44"/>
      <c r="B853" s="44"/>
    </row>
    <row r="854" spans="1:2">
      <c r="A854" s="44"/>
      <c r="B854" s="44"/>
    </row>
    <row r="855" spans="1:2">
      <c r="A855" s="44"/>
      <c r="B855" s="44"/>
    </row>
    <row r="856" spans="1:2">
      <c r="A856" s="44"/>
      <c r="B856" s="44"/>
    </row>
    <row r="857" spans="1:2">
      <c r="A857" s="44"/>
      <c r="B857" s="44"/>
    </row>
    <row r="858" spans="1:2">
      <c r="A858" s="44"/>
      <c r="B858" s="44"/>
    </row>
    <row r="859" spans="1:2">
      <c r="A859" s="44"/>
      <c r="B859" s="44"/>
    </row>
    <row r="860" spans="1:2">
      <c r="A860" s="44"/>
      <c r="B860" s="44"/>
    </row>
    <row r="861" spans="1:2">
      <c r="A861" s="44"/>
      <c r="B861" s="44"/>
    </row>
    <row r="862" spans="1:2">
      <c r="A862" s="44"/>
      <c r="B862" s="44"/>
    </row>
    <row r="863" spans="1:2">
      <c r="A863" s="44"/>
      <c r="B863" s="44"/>
    </row>
    <row r="864" spans="1:2">
      <c r="A864" s="44"/>
      <c r="B864" s="44"/>
    </row>
    <row r="865" spans="1:2">
      <c r="A865" s="44"/>
      <c r="B865" s="44"/>
    </row>
    <row r="866" spans="1:2">
      <c r="A866" s="44"/>
      <c r="B866" s="44"/>
    </row>
    <row r="867" spans="1:2">
      <c r="A867" s="44"/>
      <c r="B867" s="44"/>
    </row>
    <row r="868" spans="1:2">
      <c r="A868" s="44"/>
      <c r="B868" s="44"/>
    </row>
    <row r="869" spans="1:2">
      <c r="A869" s="44"/>
      <c r="B869" s="44"/>
    </row>
    <row r="870" spans="1:2">
      <c r="A870" s="44"/>
      <c r="B870" s="44"/>
    </row>
    <row r="871" spans="1:2">
      <c r="A871" s="44"/>
      <c r="B871" s="44"/>
    </row>
    <row r="872" spans="1:2">
      <c r="A872" s="44"/>
      <c r="B872" s="44"/>
    </row>
    <row r="873" spans="1:2">
      <c r="A873" s="44"/>
      <c r="B873" s="44"/>
    </row>
    <row r="874" spans="1:2">
      <c r="A874" s="44"/>
      <c r="B874" s="44"/>
    </row>
    <row r="875" spans="1:2">
      <c r="A875" s="44"/>
      <c r="B875" s="44"/>
    </row>
    <row r="876" spans="1:2">
      <c r="A876" s="44"/>
      <c r="B876" s="44"/>
    </row>
    <row r="877" spans="1:2">
      <c r="A877" s="44"/>
      <c r="B877" s="44"/>
    </row>
    <row r="878" spans="1:2">
      <c r="A878" s="44"/>
      <c r="B878" s="44"/>
    </row>
    <row r="879" spans="1:2">
      <c r="A879" s="44"/>
      <c r="B879" s="44"/>
    </row>
    <row r="880" spans="1:2">
      <c r="A880" s="44"/>
      <c r="B880" s="44"/>
    </row>
    <row r="881" spans="1:2">
      <c r="A881" s="44"/>
      <c r="B881" s="44"/>
    </row>
    <row r="882" spans="1:2">
      <c r="A882" s="44"/>
      <c r="B882" s="44"/>
    </row>
    <row r="883" spans="1:2">
      <c r="A883" s="44"/>
      <c r="B883" s="44"/>
    </row>
    <row r="884" spans="1:2">
      <c r="A884" s="44"/>
      <c r="B884" s="44"/>
    </row>
    <row r="885" spans="1:2">
      <c r="A885" s="44"/>
      <c r="B885" s="44"/>
    </row>
    <row r="886" spans="1:2">
      <c r="A886" s="44"/>
      <c r="B886" s="44"/>
    </row>
    <row r="887" spans="1:2">
      <c r="A887" s="44"/>
      <c r="B887" s="44"/>
    </row>
    <row r="888" spans="1:2">
      <c r="A888" s="44"/>
      <c r="B888" s="44"/>
    </row>
    <row r="889" spans="1:2">
      <c r="A889" s="44"/>
      <c r="B889" s="44"/>
    </row>
    <row r="890" spans="1:2">
      <c r="A890" s="44"/>
      <c r="B890" s="44"/>
    </row>
    <row r="891" spans="1:2">
      <c r="A891" s="44"/>
      <c r="B891" s="44"/>
    </row>
    <row r="892" spans="1:2">
      <c r="A892" s="44"/>
      <c r="B892" s="44"/>
    </row>
    <row r="893" spans="1:2">
      <c r="A893" s="44"/>
      <c r="B893" s="44"/>
    </row>
    <row r="894" spans="1:2">
      <c r="A894" s="44"/>
      <c r="B894" s="44"/>
    </row>
    <row r="895" spans="1:2">
      <c r="A895" s="44"/>
      <c r="B895" s="44"/>
    </row>
    <row r="896" spans="1:2">
      <c r="A896" s="44"/>
      <c r="B896" s="44"/>
    </row>
    <row r="897" spans="1:2">
      <c r="A897" s="44"/>
      <c r="B897" s="44"/>
    </row>
    <row r="898" spans="1:2">
      <c r="A898" s="44"/>
      <c r="B898" s="44"/>
    </row>
    <row r="899" spans="1:2">
      <c r="A899" s="44"/>
      <c r="B899" s="44"/>
    </row>
    <row r="900" spans="1:2">
      <c r="A900" s="44"/>
      <c r="B900" s="44"/>
    </row>
    <row r="901" spans="1:2">
      <c r="A901" s="44"/>
      <c r="B901" s="44"/>
    </row>
    <row r="902" spans="1:2">
      <c r="A902" s="44"/>
      <c r="B902" s="44"/>
    </row>
    <row r="903" spans="1:2">
      <c r="A903" s="44"/>
      <c r="B903" s="44"/>
    </row>
    <row r="904" spans="1:2">
      <c r="A904" s="44"/>
      <c r="B904" s="44"/>
    </row>
    <row r="905" spans="1:2">
      <c r="A905" s="44"/>
      <c r="B905" s="44"/>
    </row>
    <row r="906" spans="1:2">
      <c r="A906" s="44"/>
      <c r="B906" s="44"/>
    </row>
    <row r="907" spans="1:2">
      <c r="A907" s="44"/>
      <c r="B907" s="44"/>
    </row>
    <row r="908" spans="1:2">
      <c r="A908" s="44"/>
      <c r="B908" s="44"/>
    </row>
    <row r="909" spans="1:2">
      <c r="A909" s="44"/>
      <c r="B909" s="44"/>
    </row>
    <row r="910" spans="1:2">
      <c r="A910" s="44"/>
      <c r="B910" s="44"/>
    </row>
    <row r="911" spans="1:2">
      <c r="A911" s="44"/>
      <c r="B911" s="44"/>
    </row>
    <row r="912" spans="1:2">
      <c r="A912" s="44"/>
      <c r="B912" s="44"/>
    </row>
    <row r="913" spans="1:2">
      <c r="A913" s="44"/>
      <c r="B913" s="44"/>
    </row>
    <row r="914" spans="1:2">
      <c r="A914" s="44"/>
      <c r="B914" s="44"/>
    </row>
    <row r="915" spans="1:2">
      <c r="A915" s="44"/>
      <c r="B915" s="44"/>
    </row>
    <row r="916" spans="1:2">
      <c r="A916" s="44"/>
      <c r="B916" s="44"/>
    </row>
    <row r="917" spans="1:2">
      <c r="A917" s="44"/>
      <c r="B917" s="44"/>
    </row>
    <row r="918" spans="1:2">
      <c r="A918" s="44"/>
      <c r="B918" s="44"/>
    </row>
    <row r="919" spans="1:2">
      <c r="A919" s="44"/>
      <c r="B919" s="44"/>
    </row>
    <row r="920" spans="1:2">
      <c r="A920" s="44"/>
      <c r="B920" s="44"/>
    </row>
    <row r="921" spans="1:2">
      <c r="A921" s="44"/>
      <c r="B921" s="44"/>
    </row>
    <row r="922" spans="1:2">
      <c r="A922" s="44"/>
      <c r="B922" s="44"/>
    </row>
    <row r="923" spans="1:2">
      <c r="A923" s="44"/>
      <c r="B923" s="44"/>
    </row>
    <row r="924" spans="1:2">
      <c r="A924" s="44"/>
      <c r="B924" s="44"/>
    </row>
    <row r="925" spans="1:2">
      <c r="A925" s="44"/>
      <c r="B925" s="44"/>
    </row>
    <row r="926" spans="1:2">
      <c r="A926" s="44"/>
      <c r="B926" s="44"/>
    </row>
    <row r="927" spans="1:2">
      <c r="A927" s="44"/>
      <c r="B927" s="44"/>
    </row>
    <row r="928" spans="1:2">
      <c r="A928" s="44"/>
      <c r="B928" s="44"/>
    </row>
    <row r="929" spans="1:2">
      <c r="A929" s="44"/>
      <c r="B929" s="44"/>
    </row>
    <row r="930" spans="1:2">
      <c r="A930" s="44"/>
      <c r="B930" s="44"/>
    </row>
    <row r="931" spans="1:2">
      <c r="A931" s="44"/>
      <c r="B931" s="44"/>
    </row>
    <row r="932" spans="1:2">
      <c r="A932" s="44"/>
      <c r="B932" s="44"/>
    </row>
    <row r="933" spans="1:2">
      <c r="A933" s="44"/>
      <c r="B933" s="44"/>
    </row>
    <row r="934" spans="1:2">
      <c r="A934" s="44"/>
      <c r="B934" s="44"/>
    </row>
    <row r="935" spans="1:2">
      <c r="A935" s="44"/>
      <c r="B935" s="44"/>
    </row>
    <row r="936" spans="1:2">
      <c r="A936" s="44"/>
      <c r="B936" s="44"/>
    </row>
    <row r="937" spans="1:2">
      <c r="A937" s="44"/>
      <c r="B937" s="44"/>
    </row>
    <row r="938" spans="1:2">
      <c r="A938" s="44"/>
      <c r="B938" s="44"/>
    </row>
    <row r="939" spans="1:2">
      <c r="A939" s="44"/>
      <c r="B939" s="44"/>
    </row>
    <row r="940" spans="1:2">
      <c r="A940" s="44"/>
      <c r="B940" s="44"/>
    </row>
    <row r="941" spans="1:2">
      <c r="A941" s="44"/>
      <c r="B941" s="44"/>
    </row>
    <row r="942" spans="1:2">
      <c r="A942" s="44"/>
      <c r="B942" s="44"/>
    </row>
    <row r="943" spans="1:2">
      <c r="A943" s="44"/>
      <c r="B943" s="44"/>
    </row>
    <row r="944" spans="1:2">
      <c r="A944" s="44"/>
      <c r="B944" s="44"/>
    </row>
    <row r="945" spans="1:2">
      <c r="A945" s="44"/>
      <c r="B945" s="44"/>
    </row>
    <row r="946" spans="1:2">
      <c r="A946" s="44"/>
      <c r="B946" s="44"/>
    </row>
    <row r="947" spans="1:2">
      <c r="A947" s="44"/>
      <c r="B947" s="44"/>
    </row>
    <row r="948" spans="1:2">
      <c r="A948" s="44"/>
      <c r="B948" s="44"/>
    </row>
    <row r="949" spans="1:2">
      <c r="A949" s="44"/>
      <c r="B949" s="44"/>
    </row>
    <row r="950" spans="1:2">
      <c r="A950" s="44"/>
      <c r="B950" s="44"/>
    </row>
    <row r="951" spans="1:2">
      <c r="A951" s="44"/>
      <c r="B951" s="44"/>
    </row>
    <row r="952" spans="1:2">
      <c r="A952" s="44"/>
      <c r="B952" s="44"/>
    </row>
    <row r="953" spans="1:2">
      <c r="A953" s="44"/>
      <c r="B953" s="44"/>
    </row>
    <row r="954" spans="1:2">
      <c r="A954" s="44"/>
      <c r="B954" s="44"/>
    </row>
    <row r="955" spans="1:2">
      <c r="A955" s="44"/>
      <c r="B955" s="44"/>
    </row>
    <row r="956" spans="1:2">
      <c r="A956" s="44"/>
      <c r="B956" s="44"/>
    </row>
    <row r="957" spans="1:2">
      <c r="A957" s="44"/>
      <c r="B957" s="44"/>
    </row>
    <row r="958" spans="1:2">
      <c r="A958" s="44"/>
      <c r="B958" s="44"/>
    </row>
    <row r="959" spans="1:2">
      <c r="A959" s="44"/>
      <c r="B959" s="44"/>
    </row>
    <row r="960" spans="1:2">
      <c r="A960" s="44"/>
      <c r="B960" s="44"/>
    </row>
    <row r="961" spans="1:2">
      <c r="A961" s="44"/>
      <c r="B961" s="44"/>
    </row>
    <row r="962" spans="1:2">
      <c r="A962" s="44"/>
      <c r="B962" s="44"/>
    </row>
    <row r="963" spans="1:2">
      <c r="A963" s="44"/>
      <c r="B963" s="44"/>
    </row>
    <row r="964" spans="1:2">
      <c r="A964" s="44"/>
      <c r="B964" s="44"/>
    </row>
    <row r="965" spans="1:2">
      <c r="A965" s="44"/>
      <c r="B965" s="44"/>
    </row>
    <row r="966" spans="1:2">
      <c r="A966" s="44"/>
      <c r="B966" s="44"/>
    </row>
    <row r="967" spans="1:2">
      <c r="A967" s="44"/>
      <c r="B967" s="44"/>
    </row>
    <row r="968" spans="1:2">
      <c r="A968" s="44"/>
      <c r="B968" s="44"/>
    </row>
    <row r="969" spans="1:2">
      <c r="A969" s="44"/>
      <c r="B969" s="44"/>
    </row>
    <row r="970" spans="1:2">
      <c r="A970" s="44"/>
      <c r="B970" s="44"/>
    </row>
    <row r="971" spans="1:2">
      <c r="A971" s="44"/>
      <c r="B971" s="44"/>
    </row>
    <row r="972" spans="1:2">
      <c r="A972" s="44"/>
      <c r="B972" s="44"/>
    </row>
    <row r="973" spans="1:2">
      <c r="A973" s="44"/>
      <c r="B973" s="44"/>
    </row>
    <row r="974" spans="1:2">
      <c r="A974" s="44"/>
      <c r="B974" s="44"/>
    </row>
    <row r="975" spans="1:2">
      <c r="A975" s="44"/>
      <c r="B975" s="44"/>
    </row>
    <row r="976" spans="1:2">
      <c r="A976" s="44"/>
      <c r="B976" s="44"/>
    </row>
    <row r="977" spans="1:2">
      <c r="A977" s="44"/>
      <c r="B977" s="44"/>
    </row>
    <row r="978" spans="1:2">
      <c r="A978" s="44"/>
      <c r="B978" s="44"/>
    </row>
    <row r="979" spans="1:2">
      <c r="A979" s="44"/>
      <c r="B979" s="44"/>
    </row>
    <row r="980" spans="1:2">
      <c r="A980" s="44"/>
      <c r="B980" s="44"/>
    </row>
    <row r="981" spans="1:2">
      <c r="A981" s="44"/>
      <c r="B981" s="44"/>
    </row>
    <row r="982" spans="1:2">
      <c r="A982" s="44"/>
      <c r="B982" s="44"/>
    </row>
    <row r="983" spans="1:2">
      <c r="A983" s="44"/>
      <c r="B983" s="44"/>
    </row>
    <row r="984" spans="1:2">
      <c r="A984" s="44"/>
      <c r="B984" s="44"/>
    </row>
    <row r="985" spans="1:2">
      <c r="A985" s="44"/>
      <c r="B985" s="44"/>
    </row>
    <row r="986" spans="1:2">
      <c r="A986" s="44"/>
      <c r="B986" s="44"/>
    </row>
    <row r="987" spans="1:2">
      <c r="A987" s="44"/>
      <c r="B987" s="44"/>
    </row>
    <row r="988" spans="1:2">
      <c r="A988" s="44"/>
      <c r="B988" s="44"/>
    </row>
    <row r="989" spans="1:2">
      <c r="A989" s="44"/>
      <c r="B989" s="44"/>
    </row>
    <row r="990" spans="1:2">
      <c r="A990" s="44"/>
      <c r="B990" s="44"/>
    </row>
    <row r="991" spans="1:2">
      <c r="A991" s="44"/>
      <c r="B991" s="44"/>
    </row>
    <row r="992" spans="1:2">
      <c r="A992" s="44"/>
      <c r="B992" s="44"/>
    </row>
    <row r="993" spans="1:2">
      <c r="A993" s="44"/>
      <c r="B993" s="44"/>
    </row>
    <row r="994" spans="1:2">
      <c r="A994" s="44"/>
      <c r="B994" s="44"/>
    </row>
    <row r="995" spans="1:2">
      <c r="A995" s="44"/>
      <c r="B995" s="44"/>
    </row>
    <row r="996" spans="1:2">
      <c r="A996" s="44"/>
      <c r="B996" s="44"/>
    </row>
    <row r="997" spans="1:2">
      <c r="A997" s="44"/>
      <c r="B997" s="44"/>
    </row>
    <row r="998" spans="1:2">
      <c r="A998" s="44"/>
      <c r="B998" s="44"/>
    </row>
    <row r="999" spans="1:2">
      <c r="A999" s="44"/>
      <c r="B999" s="44"/>
    </row>
    <row r="1000" spans="1:2">
      <c r="A1000" s="44"/>
      <c r="B1000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35"/>
  <sheetViews>
    <sheetView showGridLines="0" workbookViewId="0"/>
  </sheetViews>
  <sheetFormatPr defaultColWidth="12.5703125" defaultRowHeight="15.75" customHeight="1"/>
  <cols>
    <col min="1" max="1" width="4.5703125" customWidth="1"/>
    <col min="2" max="2" width="16.42578125" customWidth="1"/>
    <col min="3" max="16" width="4.28515625" customWidth="1"/>
    <col min="17" max="17" width="5.5703125" customWidth="1"/>
  </cols>
  <sheetData>
    <row r="1" spans="1:17" ht="24.75" customHeight="1">
      <c r="A1" s="94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ht="13.5">
      <c r="A2" s="95" t="s">
        <v>542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12.75">
      <c r="A3" s="96" t="str">
        <f>'Призеры 6'!A4</f>
        <v>17-19.01.2025 г.                                                                                        г.Бийск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8"/>
    </row>
    <row r="4" spans="1:17" ht="15">
      <c r="A4" s="99" t="s">
        <v>543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ht="12.75">
      <c r="A5" s="100" t="s">
        <v>544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</row>
    <row r="6" spans="1:17" ht="25.5">
      <c r="A6" s="51"/>
      <c r="B6" s="51"/>
      <c r="C6" s="51">
        <v>50</v>
      </c>
      <c r="D6" s="51">
        <v>53</v>
      </c>
      <c r="E6" s="51">
        <v>54</v>
      </c>
      <c r="F6" s="51">
        <v>58</v>
      </c>
      <c r="G6" s="51">
        <v>59</v>
      </c>
      <c r="H6" s="51">
        <v>64</v>
      </c>
      <c r="I6" s="51">
        <v>65</v>
      </c>
      <c r="J6" s="51">
        <v>71</v>
      </c>
      <c r="K6" s="51">
        <v>79</v>
      </c>
      <c r="L6" s="51">
        <v>80</v>
      </c>
      <c r="M6" s="51">
        <v>88</v>
      </c>
      <c r="N6" s="51">
        <v>98</v>
      </c>
      <c r="O6" s="51" t="s">
        <v>130</v>
      </c>
      <c r="P6" s="51" t="s">
        <v>537</v>
      </c>
      <c r="Q6" s="51" t="s">
        <v>19</v>
      </c>
    </row>
    <row r="7" spans="1:17" ht="12.75">
      <c r="A7" s="52">
        <v>1</v>
      </c>
      <c r="B7" s="53" t="s">
        <v>46</v>
      </c>
      <c r="C7" s="53">
        <v>1</v>
      </c>
      <c r="D7" s="53"/>
      <c r="E7" s="53"/>
      <c r="F7" s="53">
        <v>2</v>
      </c>
      <c r="G7" s="53">
        <v>1</v>
      </c>
      <c r="H7" s="53">
        <v>4</v>
      </c>
      <c r="I7" s="53">
        <v>1</v>
      </c>
      <c r="J7" s="53">
        <v>5</v>
      </c>
      <c r="K7" s="53">
        <v>1</v>
      </c>
      <c r="L7" s="53"/>
      <c r="M7" s="53">
        <v>2</v>
      </c>
      <c r="N7" s="53">
        <v>1</v>
      </c>
      <c r="O7" s="53"/>
      <c r="P7" s="53"/>
      <c r="Q7" s="53">
        <v>18</v>
      </c>
    </row>
    <row r="8" spans="1:17" ht="12.75">
      <c r="A8" s="54">
        <v>2</v>
      </c>
      <c r="B8" s="55" t="s">
        <v>545</v>
      </c>
      <c r="C8" s="55"/>
      <c r="D8" s="55"/>
      <c r="E8" s="55"/>
      <c r="F8" s="55"/>
      <c r="G8" s="55"/>
      <c r="H8" s="55"/>
      <c r="I8" s="55"/>
      <c r="J8" s="55">
        <v>1</v>
      </c>
      <c r="K8" s="55"/>
      <c r="L8" s="55"/>
      <c r="M8" s="55">
        <v>1</v>
      </c>
      <c r="N8" s="55">
        <v>1</v>
      </c>
      <c r="O8" s="55"/>
      <c r="P8" s="55"/>
      <c r="Q8" s="56">
        <v>3</v>
      </c>
    </row>
    <row r="9" spans="1:17" ht="12.75">
      <c r="A9" s="54">
        <v>3</v>
      </c>
      <c r="B9" s="57" t="s">
        <v>546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>
        <v>1</v>
      </c>
      <c r="N9" s="57"/>
      <c r="O9" s="57"/>
      <c r="P9" s="57"/>
      <c r="Q9" s="56">
        <v>1</v>
      </c>
    </row>
    <row r="10" spans="1:17" ht="12.75">
      <c r="A10" s="54">
        <v>4</v>
      </c>
      <c r="B10" s="55" t="s">
        <v>267</v>
      </c>
      <c r="C10" s="55"/>
      <c r="D10" s="55"/>
      <c r="E10" s="55"/>
      <c r="F10" s="55"/>
      <c r="G10" s="55"/>
      <c r="H10" s="55">
        <v>1</v>
      </c>
      <c r="I10" s="55"/>
      <c r="J10" s="55"/>
      <c r="K10" s="55"/>
      <c r="L10" s="55"/>
      <c r="M10" s="55"/>
      <c r="N10" s="55"/>
      <c r="O10" s="55"/>
      <c r="P10" s="55"/>
      <c r="Q10" s="56">
        <v>1</v>
      </c>
    </row>
    <row r="11" spans="1:17" ht="12.75">
      <c r="A11" s="54">
        <v>5</v>
      </c>
      <c r="B11" s="57" t="s">
        <v>547</v>
      </c>
      <c r="C11" s="57"/>
      <c r="D11" s="57"/>
      <c r="E11" s="57"/>
      <c r="F11" s="57"/>
      <c r="G11" s="57"/>
      <c r="H11" s="57"/>
      <c r="I11" s="57"/>
      <c r="J11" s="57"/>
      <c r="K11" s="57">
        <v>1</v>
      </c>
      <c r="L11" s="57"/>
      <c r="M11" s="57">
        <v>1</v>
      </c>
      <c r="N11" s="57"/>
      <c r="O11" s="57"/>
      <c r="P11" s="57"/>
      <c r="Q11" s="56">
        <v>2</v>
      </c>
    </row>
    <row r="12" spans="1:17" ht="12.75">
      <c r="A12" s="54">
        <v>6</v>
      </c>
      <c r="B12" s="55" t="s">
        <v>202</v>
      </c>
      <c r="C12" s="55"/>
      <c r="D12" s="55">
        <v>1</v>
      </c>
      <c r="E12" s="55"/>
      <c r="F12" s="55">
        <v>1</v>
      </c>
      <c r="G12" s="55"/>
      <c r="H12" s="55"/>
      <c r="I12" s="55"/>
      <c r="J12" s="55">
        <v>2</v>
      </c>
      <c r="K12" s="55">
        <v>1</v>
      </c>
      <c r="L12" s="55"/>
      <c r="M12" s="55"/>
      <c r="N12" s="55">
        <v>1</v>
      </c>
      <c r="O12" s="55"/>
      <c r="P12" s="55"/>
      <c r="Q12" s="56">
        <v>6</v>
      </c>
    </row>
    <row r="13" spans="1:17" ht="12.75">
      <c r="A13" s="54">
        <v>7</v>
      </c>
      <c r="B13" s="57" t="s">
        <v>353</v>
      </c>
      <c r="C13" s="57"/>
      <c r="D13" s="57"/>
      <c r="E13" s="57"/>
      <c r="F13" s="57">
        <v>1</v>
      </c>
      <c r="G13" s="57"/>
      <c r="H13" s="57">
        <v>1</v>
      </c>
      <c r="I13" s="57"/>
      <c r="J13" s="57">
        <v>1</v>
      </c>
      <c r="K13" s="57"/>
      <c r="L13" s="57"/>
      <c r="M13" s="57"/>
      <c r="N13" s="57"/>
      <c r="O13" s="57"/>
      <c r="P13" s="57"/>
      <c r="Q13" s="56">
        <v>3</v>
      </c>
    </row>
    <row r="14" spans="1:17" ht="12.75">
      <c r="A14" s="54">
        <v>8</v>
      </c>
      <c r="B14" s="55" t="s">
        <v>398</v>
      </c>
      <c r="C14" s="55"/>
      <c r="D14" s="55">
        <v>1</v>
      </c>
      <c r="E14" s="55"/>
      <c r="F14" s="55">
        <v>1</v>
      </c>
      <c r="G14" s="55"/>
      <c r="H14" s="55"/>
      <c r="I14" s="55"/>
      <c r="J14" s="55">
        <v>3</v>
      </c>
      <c r="K14" s="55">
        <v>1</v>
      </c>
      <c r="L14" s="55"/>
      <c r="M14" s="55">
        <v>1</v>
      </c>
      <c r="N14" s="55"/>
      <c r="O14" s="55"/>
      <c r="P14" s="55"/>
      <c r="Q14" s="56">
        <v>7</v>
      </c>
    </row>
    <row r="15" spans="1:17" ht="12.75">
      <c r="A15" s="54">
        <v>9</v>
      </c>
      <c r="B15" s="57" t="s">
        <v>73</v>
      </c>
      <c r="C15" s="57"/>
      <c r="D15" s="57"/>
      <c r="E15" s="57">
        <v>1</v>
      </c>
      <c r="F15" s="57">
        <v>2</v>
      </c>
      <c r="G15" s="57"/>
      <c r="H15" s="57">
        <v>7</v>
      </c>
      <c r="I15" s="57"/>
      <c r="J15" s="57">
        <v>1</v>
      </c>
      <c r="K15" s="57">
        <v>4</v>
      </c>
      <c r="L15" s="57"/>
      <c r="M15" s="57">
        <v>5</v>
      </c>
      <c r="N15" s="57">
        <v>1</v>
      </c>
      <c r="O15" s="57"/>
      <c r="P15" s="57">
        <v>2</v>
      </c>
      <c r="Q15" s="56">
        <v>23</v>
      </c>
    </row>
    <row r="16" spans="1:17" ht="12.75">
      <c r="A16" s="54">
        <v>10</v>
      </c>
      <c r="B16" s="55" t="s">
        <v>52</v>
      </c>
      <c r="C16" s="55">
        <v>1</v>
      </c>
      <c r="D16" s="55">
        <v>3</v>
      </c>
      <c r="E16" s="55">
        <v>2</v>
      </c>
      <c r="F16" s="55">
        <v>9</v>
      </c>
      <c r="G16" s="55">
        <v>3</v>
      </c>
      <c r="H16" s="55">
        <v>19</v>
      </c>
      <c r="I16" s="55">
        <v>2</v>
      </c>
      <c r="J16" s="55">
        <v>25</v>
      </c>
      <c r="K16" s="55">
        <v>21</v>
      </c>
      <c r="L16" s="55">
        <v>1</v>
      </c>
      <c r="M16" s="55">
        <v>9</v>
      </c>
      <c r="N16" s="55">
        <v>7</v>
      </c>
      <c r="O16" s="55">
        <v>1</v>
      </c>
      <c r="P16" s="55">
        <v>5</v>
      </c>
      <c r="Q16" s="56">
        <v>108</v>
      </c>
    </row>
    <row r="17" spans="1:17" ht="12.75">
      <c r="A17" s="54">
        <v>11</v>
      </c>
      <c r="B17" s="57" t="s">
        <v>524</v>
      </c>
      <c r="C17" s="57"/>
      <c r="D17" s="57"/>
      <c r="E17" s="57"/>
      <c r="F17" s="57">
        <v>1</v>
      </c>
      <c r="G17" s="57"/>
      <c r="H17" s="57"/>
      <c r="I17" s="57"/>
      <c r="J17" s="57">
        <v>2</v>
      </c>
      <c r="K17" s="57"/>
      <c r="L17" s="57"/>
      <c r="M17" s="57">
        <v>3</v>
      </c>
      <c r="N17" s="57">
        <v>2</v>
      </c>
      <c r="O17" s="57"/>
      <c r="P17" s="57"/>
      <c r="Q17" s="56">
        <v>8</v>
      </c>
    </row>
    <row r="18" spans="1:17" ht="12.75">
      <c r="A18" s="54">
        <v>12</v>
      </c>
      <c r="B18" s="55" t="s">
        <v>67</v>
      </c>
      <c r="C18" s="55"/>
      <c r="D18" s="55"/>
      <c r="E18" s="55">
        <v>1</v>
      </c>
      <c r="F18" s="55"/>
      <c r="G18" s="55">
        <v>1</v>
      </c>
      <c r="H18" s="55"/>
      <c r="I18" s="55"/>
      <c r="J18" s="55"/>
      <c r="K18" s="55"/>
      <c r="L18" s="55"/>
      <c r="M18" s="55"/>
      <c r="N18" s="55"/>
      <c r="O18" s="55"/>
      <c r="P18" s="55"/>
      <c r="Q18" s="56">
        <v>2</v>
      </c>
    </row>
    <row r="19" spans="1:17" ht="12.75">
      <c r="A19" s="54">
        <v>13</v>
      </c>
      <c r="B19" s="57" t="s">
        <v>88</v>
      </c>
      <c r="C19" s="57"/>
      <c r="D19" s="57">
        <v>3</v>
      </c>
      <c r="E19" s="57">
        <v>1</v>
      </c>
      <c r="F19" s="57">
        <v>7</v>
      </c>
      <c r="G19" s="57"/>
      <c r="H19" s="57">
        <v>8</v>
      </c>
      <c r="I19" s="57"/>
      <c r="J19" s="57">
        <v>4</v>
      </c>
      <c r="K19" s="57">
        <v>1</v>
      </c>
      <c r="L19" s="57"/>
      <c r="M19" s="57">
        <v>2</v>
      </c>
      <c r="N19" s="57"/>
      <c r="O19" s="57"/>
      <c r="P19" s="57"/>
      <c r="Q19" s="56">
        <v>26</v>
      </c>
    </row>
    <row r="20" spans="1:17" ht="12.75">
      <c r="A20" s="54">
        <v>14</v>
      </c>
      <c r="B20" s="55" t="s">
        <v>510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>
        <v>1</v>
      </c>
      <c r="N20" s="55"/>
      <c r="O20" s="55"/>
      <c r="P20" s="55"/>
      <c r="Q20" s="56">
        <v>1</v>
      </c>
    </row>
    <row r="21" spans="1:17" ht="12.75">
      <c r="A21" s="54">
        <v>15</v>
      </c>
      <c r="B21" s="57" t="s">
        <v>60</v>
      </c>
      <c r="C21" s="57"/>
      <c r="D21" s="57">
        <v>1</v>
      </c>
      <c r="E21" s="57">
        <v>1</v>
      </c>
      <c r="F21" s="57">
        <v>2</v>
      </c>
      <c r="G21" s="57"/>
      <c r="H21" s="57">
        <v>6</v>
      </c>
      <c r="I21" s="57"/>
      <c r="J21" s="57">
        <v>1</v>
      </c>
      <c r="K21" s="57">
        <v>2</v>
      </c>
      <c r="L21" s="57"/>
      <c r="M21" s="57"/>
      <c r="N21" s="57"/>
      <c r="O21" s="57"/>
      <c r="P21" s="57"/>
      <c r="Q21" s="56">
        <v>13</v>
      </c>
    </row>
    <row r="22" spans="1:17" ht="12.75">
      <c r="A22" s="54">
        <v>16</v>
      </c>
      <c r="B22" s="55" t="s">
        <v>220</v>
      </c>
      <c r="C22" s="55"/>
      <c r="D22" s="55"/>
      <c r="E22" s="55"/>
      <c r="F22" s="55"/>
      <c r="G22" s="55"/>
      <c r="H22" s="55">
        <v>2</v>
      </c>
      <c r="I22" s="55"/>
      <c r="J22" s="55">
        <v>3</v>
      </c>
      <c r="K22" s="55"/>
      <c r="L22" s="55"/>
      <c r="M22" s="55">
        <v>2</v>
      </c>
      <c r="N22" s="55"/>
      <c r="O22" s="55"/>
      <c r="P22" s="55"/>
      <c r="Q22" s="56">
        <v>7</v>
      </c>
    </row>
    <row r="23" spans="1:17" ht="12.75">
      <c r="A23" s="54">
        <v>17</v>
      </c>
      <c r="B23" s="57" t="s">
        <v>163</v>
      </c>
      <c r="C23" s="57"/>
      <c r="D23" s="57"/>
      <c r="E23" s="57"/>
      <c r="F23" s="57">
        <v>3</v>
      </c>
      <c r="G23" s="57"/>
      <c r="H23" s="57">
        <v>6</v>
      </c>
      <c r="I23" s="57"/>
      <c r="J23" s="57"/>
      <c r="K23" s="57"/>
      <c r="L23" s="57"/>
      <c r="M23" s="57"/>
      <c r="N23" s="57"/>
      <c r="O23" s="57"/>
      <c r="P23" s="57"/>
      <c r="Q23" s="56">
        <v>9</v>
      </c>
    </row>
    <row r="24" spans="1:17" ht="12.75">
      <c r="A24" s="54">
        <v>18</v>
      </c>
      <c r="B24" s="55" t="s">
        <v>169</v>
      </c>
      <c r="C24" s="55"/>
      <c r="D24" s="55">
        <v>2</v>
      </c>
      <c r="E24" s="55"/>
      <c r="F24" s="55">
        <v>2</v>
      </c>
      <c r="G24" s="55"/>
      <c r="H24" s="55">
        <v>1</v>
      </c>
      <c r="I24" s="55"/>
      <c r="J24" s="55">
        <v>1</v>
      </c>
      <c r="K24" s="55"/>
      <c r="L24" s="55"/>
      <c r="M24" s="55"/>
      <c r="N24" s="55"/>
      <c r="O24" s="55"/>
      <c r="P24" s="55"/>
      <c r="Q24" s="56">
        <v>6</v>
      </c>
    </row>
    <row r="25" spans="1:17" ht="12.75">
      <c r="A25" s="54">
        <v>19</v>
      </c>
      <c r="B25" s="57" t="s">
        <v>458</v>
      </c>
      <c r="C25" s="57"/>
      <c r="D25" s="57"/>
      <c r="E25" s="57"/>
      <c r="F25" s="57"/>
      <c r="G25" s="57"/>
      <c r="H25" s="57"/>
      <c r="I25" s="57"/>
      <c r="J25" s="57"/>
      <c r="K25" s="57">
        <v>1</v>
      </c>
      <c r="L25" s="57"/>
      <c r="M25" s="57"/>
      <c r="N25" s="57"/>
      <c r="O25" s="57"/>
      <c r="P25" s="57"/>
      <c r="Q25" s="56">
        <v>1</v>
      </c>
    </row>
    <row r="26" spans="1:17" ht="25.5">
      <c r="A26" s="54">
        <v>20</v>
      </c>
      <c r="B26" s="55" t="s">
        <v>548</v>
      </c>
      <c r="C26" s="55"/>
      <c r="D26" s="55"/>
      <c r="E26" s="55"/>
      <c r="F26" s="55"/>
      <c r="G26" s="55"/>
      <c r="H26" s="55">
        <v>1</v>
      </c>
      <c r="I26" s="55"/>
      <c r="J26" s="55"/>
      <c r="K26" s="55"/>
      <c r="L26" s="55"/>
      <c r="M26" s="55"/>
      <c r="N26" s="55"/>
      <c r="O26" s="55"/>
      <c r="P26" s="55"/>
      <c r="Q26" s="56">
        <v>1</v>
      </c>
    </row>
    <row r="27" spans="1:17" ht="12.75">
      <c r="A27" s="54">
        <v>21</v>
      </c>
      <c r="B27" s="57" t="s">
        <v>549</v>
      </c>
      <c r="C27" s="57"/>
      <c r="D27" s="57">
        <v>2</v>
      </c>
      <c r="E27" s="57"/>
      <c r="F27" s="57">
        <v>4</v>
      </c>
      <c r="G27" s="57"/>
      <c r="H27" s="57">
        <v>2</v>
      </c>
      <c r="I27" s="57"/>
      <c r="J27" s="57">
        <v>2</v>
      </c>
      <c r="K27" s="57">
        <v>3</v>
      </c>
      <c r="L27" s="57"/>
      <c r="M27" s="57"/>
      <c r="N27" s="57">
        <v>1</v>
      </c>
      <c r="O27" s="57"/>
      <c r="P27" s="57">
        <v>1</v>
      </c>
      <c r="Q27" s="56">
        <v>15</v>
      </c>
    </row>
    <row r="28" spans="1:17" ht="12.75">
      <c r="A28" s="54">
        <v>22</v>
      </c>
      <c r="B28" s="55" t="s">
        <v>550</v>
      </c>
      <c r="C28" s="55"/>
      <c r="D28" s="55"/>
      <c r="E28" s="55"/>
      <c r="F28" s="55">
        <v>1</v>
      </c>
      <c r="G28" s="55"/>
      <c r="H28" s="55">
        <v>1</v>
      </c>
      <c r="I28" s="55"/>
      <c r="J28" s="55"/>
      <c r="K28" s="55"/>
      <c r="L28" s="55"/>
      <c r="M28" s="55"/>
      <c r="N28" s="55"/>
      <c r="O28" s="55"/>
      <c r="P28" s="55"/>
      <c r="Q28" s="56">
        <v>2</v>
      </c>
    </row>
    <row r="29" spans="1:17" ht="12.75">
      <c r="A29" s="54">
        <v>23</v>
      </c>
      <c r="B29" s="57" t="s">
        <v>157</v>
      </c>
      <c r="C29" s="57"/>
      <c r="D29" s="57"/>
      <c r="E29" s="57"/>
      <c r="F29" s="57">
        <v>1</v>
      </c>
      <c r="G29" s="57"/>
      <c r="H29" s="57"/>
      <c r="I29" s="57"/>
      <c r="J29" s="57">
        <v>1</v>
      </c>
      <c r="K29" s="57">
        <v>3</v>
      </c>
      <c r="L29" s="57"/>
      <c r="M29" s="57">
        <v>1</v>
      </c>
      <c r="N29" s="57"/>
      <c r="O29" s="57"/>
      <c r="P29" s="57">
        <v>2</v>
      </c>
      <c r="Q29" s="56">
        <v>8</v>
      </c>
    </row>
    <row r="30" spans="1:17" ht="12.75">
      <c r="A30" s="54">
        <v>24</v>
      </c>
      <c r="B30" s="55" t="s">
        <v>551</v>
      </c>
      <c r="C30" s="55"/>
      <c r="D30" s="55"/>
      <c r="E30" s="55"/>
      <c r="F30" s="55">
        <v>1</v>
      </c>
      <c r="G30" s="55"/>
      <c r="H30" s="55"/>
      <c r="I30" s="55"/>
      <c r="J30" s="55"/>
      <c r="K30" s="55">
        <v>1</v>
      </c>
      <c r="L30" s="55"/>
      <c r="M30" s="55"/>
      <c r="N30" s="55"/>
      <c r="O30" s="55"/>
      <c r="P30" s="55"/>
      <c r="Q30" s="56">
        <v>2</v>
      </c>
    </row>
    <row r="31" spans="1:17" ht="12.75">
      <c r="A31" s="54">
        <v>25</v>
      </c>
      <c r="B31" s="57" t="s">
        <v>336</v>
      </c>
      <c r="C31" s="57"/>
      <c r="D31" s="57"/>
      <c r="E31" s="57"/>
      <c r="F31" s="57"/>
      <c r="G31" s="57"/>
      <c r="H31" s="57"/>
      <c r="I31" s="57"/>
      <c r="J31" s="57">
        <v>1</v>
      </c>
      <c r="K31" s="57">
        <v>1</v>
      </c>
      <c r="L31" s="57"/>
      <c r="M31" s="57"/>
      <c r="N31" s="57"/>
      <c r="O31" s="57"/>
      <c r="P31" s="57"/>
      <c r="Q31" s="56">
        <v>2</v>
      </c>
    </row>
    <row r="32" spans="1:17" ht="12.75">
      <c r="A32" s="53"/>
      <c r="B32" s="53" t="s">
        <v>19</v>
      </c>
      <c r="C32" s="53">
        <v>2</v>
      </c>
      <c r="D32" s="53">
        <v>13</v>
      </c>
      <c r="E32" s="53">
        <v>6</v>
      </c>
      <c r="F32" s="53">
        <v>38</v>
      </c>
      <c r="G32" s="53">
        <v>5</v>
      </c>
      <c r="H32" s="53">
        <v>59</v>
      </c>
      <c r="I32" s="53">
        <v>3</v>
      </c>
      <c r="J32" s="53">
        <v>53</v>
      </c>
      <c r="K32" s="53">
        <v>41</v>
      </c>
      <c r="L32" s="53">
        <v>1</v>
      </c>
      <c r="M32" s="53">
        <v>29</v>
      </c>
      <c r="N32" s="53">
        <v>14</v>
      </c>
      <c r="O32" s="53">
        <v>1</v>
      </c>
      <c r="P32" s="53">
        <v>10</v>
      </c>
      <c r="Q32" s="53">
        <v>275</v>
      </c>
    </row>
    <row r="34" spans="2:13" ht="12.75">
      <c r="B34" s="38" t="s">
        <v>18</v>
      </c>
      <c r="I34" s="38"/>
      <c r="J34" s="58" t="s">
        <v>552</v>
      </c>
      <c r="L34" s="38"/>
      <c r="M34" s="59" t="s">
        <v>553</v>
      </c>
    </row>
    <row r="35" spans="2:13" ht="12.75">
      <c r="B35" s="38" t="s">
        <v>9</v>
      </c>
      <c r="I35" s="38"/>
      <c r="J35" s="58" t="s">
        <v>554</v>
      </c>
      <c r="L35" s="38"/>
      <c r="M35" s="59" t="s">
        <v>555</v>
      </c>
    </row>
  </sheetData>
  <mergeCells count="5">
    <mergeCell ref="A1:Q1"/>
    <mergeCell ref="A2:Q2"/>
    <mergeCell ref="A3:Q3"/>
    <mergeCell ref="A4:Q4"/>
    <mergeCell ref="A5:Q5"/>
  </mergeCells>
  <printOptions horizontalCentered="1"/>
  <pageMargins left="0.7" right="0.7" top="0.75" bottom="0.75" header="0" footer="0"/>
  <pageSetup paperSize="9" fitToHeight="0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30"/>
  <sheetViews>
    <sheetView showGridLines="0" workbookViewId="0"/>
  </sheetViews>
  <sheetFormatPr defaultColWidth="12.5703125" defaultRowHeight="15.75" customHeight="1"/>
  <cols>
    <col min="1" max="1" width="4.5703125" customWidth="1"/>
    <col min="2" max="7" width="85.42578125" customWidth="1"/>
  </cols>
  <sheetData>
    <row r="1" spans="1:7" ht="24" customHeight="1">
      <c r="A1" s="103" t="s">
        <v>0</v>
      </c>
      <c r="B1" s="104"/>
      <c r="C1" s="50"/>
      <c r="D1" s="50"/>
      <c r="E1" s="50"/>
      <c r="F1" s="50"/>
      <c r="G1" s="50"/>
    </row>
    <row r="2" spans="1:7" ht="48" customHeight="1">
      <c r="A2" s="105" t="str">
        <f>'Призеры 6'!A3</f>
        <v>Краевые соревнования по самбо XLV спартакиады спортивных школ среди юношей и девушек 14-16 лет (ЕКП 57.2)</v>
      </c>
      <c r="B2" s="104"/>
      <c r="C2" s="60"/>
      <c r="D2" s="60"/>
      <c r="E2" s="60"/>
      <c r="F2" s="60"/>
      <c r="G2" s="60"/>
    </row>
    <row r="3" spans="1:7" ht="24" customHeight="1">
      <c r="A3" s="106" t="str">
        <f>'Призеры 6'!A4</f>
        <v>17-19.01.2025 г.                                                                                        г.Бийск</v>
      </c>
      <c r="B3" s="104"/>
      <c r="C3" s="61"/>
      <c r="D3" s="61"/>
      <c r="E3" s="61"/>
      <c r="F3" s="61"/>
      <c r="G3" s="61"/>
    </row>
    <row r="4" spans="1:7" ht="24" customHeight="1">
      <c r="A4" s="107" t="s">
        <v>556</v>
      </c>
      <c r="B4" s="104"/>
      <c r="C4" s="61"/>
      <c r="D4" s="61"/>
      <c r="E4" s="61"/>
      <c r="F4" s="61"/>
      <c r="G4" s="61"/>
    </row>
    <row r="5" spans="1:7" ht="24" customHeight="1">
      <c r="A5" s="55">
        <v>1</v>
      </c>
      <c r="B5" s="62" t="s">
        <v>557</v>
      </c>
      <c r="C5" s="63"/>
      <c r="D5" s="63"/>
      <c r="E5" s="63"/>
      <c r="F5" s="63"/>
      <c r="G5" s="63"/>
    </row>
    <row r="6" spans="1:7" ht="24" customHeight="1">
      <c r="A6" s="57">
        <v>2</v>
      </c>
      <c r="B6" s="64" t="s">
        <v>558</v>
      </c>
      <c r="C6" s="65"/>
      <c r="D6" s="65"/>
      <c r="E6" s="65"/>
      <c r="F6" s="65"/>
      <c r="G6" s="65"/>
    </row>
    <row r="7" spans="1:7" ht="24" customHeight="1">
      <c r="A7" s="55">
        <v>3</v>
      </c>
      <c r="B7" s="62" t="s">
        <v>559</v>
      </c>
      <c r="C7" s="63"/>
      <c r="D7" s="63"/>
      <c r="E7" s="63"/>
      <c r="F7" s="63"/>
      <c r="G7" s="63"/>
    </row>
    <row r="8" spans="1:7" ht="24" customHeight="1">
      <c r="A8" s="57">
        <v>4</v>
      </c>
      <c r="B8" s="64" t="s">
        <v>560</v>
      </c>
      <c r="C8" s="65"/>
      <c r="D8" s="65"/>
      <c r="E8" s="65"/>
      <c r="F8" s="65"/>
      <c r="G8" s="65"/>
    </row>
    <row r="9" spans="1:7" ht="24" customHeight="1">
      <c r="A9" s="55">
        <v>5</v>
      </c>
      <c r="B9" s="62" t="s">
        <v>561</v>
      </c>
      <c r="C9" s="63"/>
      <c r="D9" s="63"/>
      <c r="E9" s="63"/>
      <c r="F9" s="63"/>
      <c r="G9" s="63"/>
    </row>
    <row r="10" spans="1:7" ht="24" customHeight="1">
      <c r="A10" s="57">
        <v>6</v>
      </c>
      <c r="B10" s="64" t="s">
        <v>562</v>
      </c>
      <c r="C10" s="65"/>
      <c r="D10" s="65"/>
      <c r="E10" s="65"/>
      <c r="F10" s="65"/>
      <c r="G10" s="65"/>
    </row>
    <row r="11" spans="1:7" ht="24" customHeight="1">
      <c r="A11" s="55">
        <v>7</v>
      </c>
      <c r="B11" s="62" t="s">
        <v>563</v>
      </c>
      <c r="C11" s="63"/>
      <c r="D11" s="63"/>
      <c r="E11" s="63"/>
      <c r="F11" s="63"/>
      <c r="G11" s="63"/>
    </row>
    <row r="12" spans="1:7" ht="24" customHeight="1">
      <c r="A12" s="57">
        <v>8</v>
      </c>
      <c r="B12" s="64" t="s">
        <v>564</v>
      </c>
      <c r="C12" s="65"/>
      <c r="D12" s="65"/>
      <c r="E12" s="65"/>
      <c r="F12" s="65"/>
      <c r="G12" s="65"/>
    </row>
    <row r="13" spans="1:7" ht="24" customHeight="1">
      <c r="A13" s="55">
        <v>9</v>
      </c>
      <c r="B13" s="62" t="s">
        <v>565</v>
      </c>
      <c r="C13" s="63"/>
      <c r="D13" s="63"/>
      <c r="E13" s="63"/>
      <c r="F13" s="63"/>
      <c r="G13" s="63"/>
    </row>
    <row r="14" spans="1:7" ht="24" customHeight="1">
      <c r="A14" s="57">
        <v>10</v>
      </c>
      <c r="B14" s="66" t="s">
        <v>524</v>
      </c>
      <c r="C14" s="65"/>
      <c r="D14" s="65"/>
      <c r="E14" s="65"/>
      <c r="F14" s="65"/>
      <c r="G14" s="65"/>
    </row>
    <row r="15" spans="1:7" ht="24" customHeight="1">
      <c r="A15" s="55">
        <v>11</v>
      </c>
      <c r="B15" s="62" t="s">
        <v>566</v>
      </c>
      <c r="C15" s="63"/>
      <c r="D15" s="63"/>
      <c r="E15" s="63"/>
      <c r="F15" s="63"/>
      <c r="G15" s="63"/>
    </row>
    <row r="16" spans="1:7" ht="24" customHeight="1">
      <c r="A16" s="67">
        <v>12</v>
      </c>
      <c r="B16" s="64" t="s">
        <v>567</v>
      </c>
      <c r="C16" s="68"/>
      <c r="D16" s="68"/>
      <c r="E16" s="68"/>
      <c r="F16" s="68"/>
      <c r="G16" s="68"/>
    </row>
    <row r="17" spans="1:7" ht="24" customHeight="1">
      <c r="A17" s="55">
        <v>13</v>
      </c>
      <c r="B17" s="62" t="s">
        <v>568</v>
      </c>
      <c r="C17" s="63"/>
      <c r="D17" s="63"/>
      <c r="E17" s="63"/>
      <c r="F17" s="63"/>
      <c r="G17" s="63"/>
    </row>
    <row r="18" spans="1:7" ht="24" customHeight="1">
      <c r="A18" s="57">
        <v>14</v>
      </c>
      <c r="B18" s="64" t="s">
        <v>569</v>
      </c>
      <c r="C18" s="65"/>
      <c r="D18" s="65"/>
      <c r="E18" s="65"/>
      <c r="F18" s="65"/>
      <c r="G18" s="65"/>
    </row>
    <row r="19" spans="1:7" ht="24" customHeight="1">
      <c r="A19" s="69">
        <v>15</v>
      </c>
      <c r="B19" s="62" t="s">
        <v>570</v>
      </c>
      <c r="C19" s="70"/>
      <c r="D19" s="70"/>
      <c r="E19" s="70"/>
      <c r="F19" s="70"/>
      <c r="G19" s="70"/>
    </row>
    <row r="20" spans="1:7" ht="24" customHeight="1">
      <c r="A20" s="57">
        <v>16</v>
      </c>
      <c r="B20" s="64" t="s">
        <v>571</v>
      </c>
      <c r="C20" s="65"/>
      <c r="D20" s="65"/>
      <c r="E20" s="65"/>
      <c r="F20" s="65"/>
      <c r="G20" s="65"/>
    </row>
    <row r="21" spans="1:7" ht="24" customHeight="1">
      <c r="A21" s="55">
        <v>17</v>
      </c>
      <c r="B21" s="62" t="s">
        <v>572</v>
      </c>
      <c r="C21" s="63"/>
      <c r="D21" s="63"/>
      <c r="E21" s="63"/>
      <c r="F21" s="63"/>
      <c r="G21" s="63"/>
    </row>
    <row r="22" spans="1:7" ht="24" customHeight="1">
      <c r="A22" s="57">
        <v>18</v>
      </c>
      <c r="B22" s="64" t="s">
        <v>573</v>
      </c>
      <c r="C22" s="65"/>
      <c r="D22" s="65"/>
      <c r="E22" s="65"/>
      <c r="F22" s="65"/>
      <c r="G22" s="65"/>
    </row>
    <row r="23" spans="1:7" ht="24" customHeight="1">
      <c r="A23" s="69">
        <v>19</v>
      </c>
      <c r="B23" s="62" t="s">
        <v>574</v>
      </c>
      <c r="C23" s="70"/>
      <c r="D23" s="70"/>
      <c r="E23" s="70"/>
      <c r="F23" s="70"/>
      <c r="G23" s="70"/>
    </row>
    <row r="24" spans="1:7" ht="24" customHeight="1">
      <c r="A24" s="57">
        <v>20</v>
      </c>
      <c r="B24" s="66" t="s">
        <v>575</v>
      </c>
      <c r="C24" s="65"/>
      <c r="D24" s="65"/>
      <c r="E24" s="65"/>
      <c r="F24" s="65"/>
      <c r="G24" s="65"/>
    </row>
    <row r="25" spans="1:7" ht="24" customHeight="1">
      <c r="A25" s="55">
        <v>21</v>
      </c>
      <c r="B25" s="62" t="s">
        <v>576</v>
      </c>
      <c r="C25" s="63"/>
      <c r="D25" s="63"/>
      <c r="E25" s="63"/>
      <c r="F25" s="63"/>
      <c r="G25" s="63"/>
    </row>
    <row r="26" spans="1:7" ht="24" customHeight="1">
      <c r="A26" s="57">
        <v>22</v>
      </c>
      <c r="B26" s="66" t="s">
        <v>577</v>
      </c>
      <c r="C26" s="65"/>
      <c r="D26" s="65"/>
      <c r="E26" s="65"/>
      <c r="F26" s="65"/>
      <c r="G26" s="65"/>
    </row>
    <row r="27" spans="1:7" ht="24" customHeight="1">
      <c r="A27" s="71"/>
      <c r="B27" s="71"/>
      <c r="C27" s="71"/>
      <c r="D27" s="71"/>
      <c r="E27" s="71"/>
      <c r="F27" s="71"/>
      <c r="G27" s="71"/>
    </row>
    <row r="28" spans="1:7" ht="24" customHeight="1">
      <c r="A28" s="108" t="s">
        <v>578</v>
      </c>
      <c r="B28" s="86"/>
      <c r="C28" s="71"/>
      <c r="D28" s="72" t="s">
        <v>579</v>
      </c>
      <c r="E28" s="71"/>
      <c r="F28" s="72" t="s">
        <v>580</v>
      </c>
    </row>
    <row r="29" spans="1:7" ht="4.5" customHeight="1">
      <c r="A29" s="73"/>
      <c r="B29" s="73"/>
      <c r="C29" s="71"/>
      <c r="D29" s="71"/>
      <c r="E29" s="71"/>
      <c r="F29" s="71"/>
    </row>
    <row r="30" spans="1:7" ht="24" customHeight="1">
      <c r="A30" s="108" t="s">
        <v>581</v>
      </c>
      <c r="B30" s="86"/>
      <c r="C30" s="71"/>
      <c r="D30" s="72" t="s">
        <v>582</v>
      </c>
      <c r="E30" s="71"/>
      <c r="F30" s="72" t="s">
        <v>583</v>
      </c>
    </row>
  </sheetData>
  <mergeCells count="6">
    <mergeCell ref="A30:B30"/>
    <mergeCell ref="A1:B1"/>
    <mergeCell ref="A2:B2"/>
    <mergeCell ref="A3:B3"/>
    <mergeCell ref="A4:B4"/>
    <mergeCell ref="A28:B28"/>
  </mergeCells>
  <printOptions horizontalCentered="1"/>
  <pageMargins left="0.7" right="0.7" top="0.75" bottom="0.75" header="0" footer="0"/>
  <pageSetup paperSize="9" fitToHeight="0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sheetData>
    <row r="1" spans="1:8">
      <c r="A1" s="74"/>
      <c r="B1" s="75" t="s">
        <v>3</v>
      </c>
      <c r="C1" s="75" t="s">
        <v>4</v>
      </c>
      <c r="D1" s="75" t="s">
        <v>5</v>
      </c>
      <c r="E1" s="75" t="s">
        <v>6</v>
      </c>
      <c r="F1" s="75" t="s">
        <v>7</v>
      </c>
      <c r="G1" s="76"/>
      <c r="H1" s="77" t="s">
        <v>8</v>
      </c>
    </row>
    <row r="2" spans="1:8">
      <c r="A2" s="78"/>
      <c r="B2" s="79">
        <v>5</v>
      </c>
      <c r="C2" s="79" t="s">
        <v>585</v>
      </c>
      <c r="D2" s="79" t="s">
        <v>586</v>
      </c>
      <c r="E2" s="79" t="s">
        <v>557</v>
      </c>
      <c r="F2" s="79" t="s">
        <v>587</v>
      </c>
      <c r="G2" s="79" t="s">
        <v>584</v>
      </c>
      <c r="H2" s="80" t="s">
        <v>588</v>
      </c>
    </row>
    <row r="3" spans="1:8">
      <c r="A3" s="78"/>
      <c r="B3" s="79">
        <v>5</v>
      </c>
      <c r="C3" s="79" t="s">
        <v>589</v>
      </c>
      <c r="D3" s="79" t="s">
        <v>590</v>
      </c>
      <c r="E3" s="79" t="s">
        <v>557</v>
      </c>
      <c r="F3" s="79" t="s">
        <v>587</v>
      </c>
      <c r="G3" s="79" t="s">
        <v>584</v>
      </c>
      <c r="H3" s="80" t="s">
        <v>591</v>
      </c>
    </row>
    <row r="4" spans="1:8">
      <c r="A4" s="78"/>
      <c r="B4" s="79">
        <v>5</v>
      </c>
      <c r="C4" s="79" t="s">
        <v>592</v>
      </c>
      <c r="D4" s="79" t="s">
        <v>593</v>
      </c>
      <c r="E4" s="79" t="s">
        <v>557</v>
      </c>
      <c r="F4" s="79" t="s">
        <v>587</v>
      </c>
      <c r="G4" s="79" t="s">
        <v>584</v>
      </c>
      <c r="H4" s="80" t="s">
        <v>594</v>
      </c>
    </row>
    <row r="5" spans="1:8">
      <c r="A5" s="78"/>
      <c r="B5" s="79">
        <v>5</v>
      </c>
      <c r="C5" s="79" t="s">
        <v>595</v>
      </c>
      <c r="D5" s="79" t="s">
        <v>596</v>
      </c>
      <c r="E5" s="79" t="s">
        <v>557</v>
      </c>
      <c r="F5" s="79" t="s">
        <v>587</v>
      </c>
      <c r="G5" s="79" t="s">
        <v>584</v>
      </c>
      <c r="H5" s="80" t="s">
        <v>588</v>
      </c>
    </row>
    <row r="6" spans="1:8">
      <c r="A6" s="78"/>
      <c r="B6" s="79">
        <v>5</v>
      </c>
      <c r="C6" s="79" t="s">
        <v>597</v>
      </c>
      <c r="D6" s="79" t="s">
        <v>598</v>
      </c>
      <c r="E6" s="79" t="s">
        <v>557</v>
      </c>
      <c r="F6" s="79" t="s">
        <v>587</v>
      </c>
      <c r="G6" s="79" t="s">
        <v>584</v>
      </c>
      <c r="H6" s="80" t="s">
        <v>599</v>
      </c>
    </row>
    <row r="7" spans="1:8">
      <c r="A7" s="78"/>
      <c r="B7" s="79">
        <v>5</v>
      </c>
      <c r="C7" s="79" t="s">
        <v>600</v>
      </c>
      <c r="D7" s="79" t="s">
        <v>601</v>
      </c>
      <c r="E7" s="79" t="s">
        <v>557</v>
      </c>
      <c r="F7" s="79" t="s">
        <v>587</v>
      </c>
      <c r="G7" s="79" t="s">
        <v>584</v>
      </c>
      <c r="H7" s="80" t="s">
        <v>602</v>
      </c>
    </row>
    <row r="8" spans="1:8">
      <c r="A8" s="78"/>
      <c r="B8" s="79">
        <v>5</v>
      </c>
      <c r="C8" s="79" t="s">
        <v>603</v>
      </c>
      <c r="D8" s="79" t="s">
        <v>604</v>
      </c>
      <c r="E8" s="79" t="s">
        <v>557</v>
      </c>
      <c r="F8" s="79" t="s">
        <v>587</v>
      </c>
      <c r="G8" s="79" t="s">
        <v>584</v>
      </c>
      <c r="H8" s="80" t="s">
        <v>591</v>
      </c>
    </row>
    <row r="9" spans="1:8">
      <c r="A9" s="78"/>
      <c r="B9" s="79">
        <v>5</v>
      </c>
      <c r="C9" s="79" t="s">
        <v>605</v>
      </c>
      <c r="D9" s="79" t="s">
        <v>606</v>
      </c>
      <c r="E9" s="79" t="s">
        <v>557</v>
      </c>
      <c r="F9" s="79" t="s">
        <v>607</v>
      </c>
      <c r="G9" s="79" t="s">
        <v>584</v>
      </c>
      <c r="H9" s="80" t="s">
        <v>608</v>
      </c>
    </row>
    <row r="10" spans="1:8">
      <c r="A10" s="78"/>
      <c r="B10" s="79">
        <v>5</v>
      </c>
      <c r="C10" s="79" t="s">
        <v>609</v>
      </c>
      <c r="D10" s="79" t="s">
        <v>610</v>
      </c>
      <c r="E10" s="79" t="s">
        <v>557</v>
      </c>
      <c r="F10" s="79" t="s">
        <v>587</v>
      </c>
      <c r="G10" s="79" t="s">
        <v>584</v>
      </c>
      <c r="H10" s="80" t="s">
        <v>588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sheetData>
    <row r="1" spans="1:8">
      <c r="A1" s="74"/>
      <c r="B1" s="75" t="s">
        <v>3</v>
      </c>
      <c r="C1" s="75" t="s">
        <v>4</v>
      </c>
      <c r="D1" s="75" t="s">
        <v>5</v>
      </c>
      <c r="E1" s="75" t="s">
        <v>6</v>
      </c>
      <c r="F1" s="75" t="s">
        <v>7</v>
      </c>
      <c r="G1" s="76"/>
      <c r="H1" s="77" t="s">
        <v>8</v>
      </c>
    </row>
    <row r="2" spans="1:8">
      <c r="A2" s="81" t="s">
        <v>611</v>
      </c>
      <c r="B2" s="79">
        <v>1</v>
      </c>
      <c r="C2" s="79" t="s">
        <v>612</v>
      </c>
      <c r="D2" s="79" t="s">
        <v>613</v>
      </c>
      <c r="E2" s="79" t="s">
        <v>557</v>
      </c>
      <c r="F2" s="79" t="s">
        <v>607</v>
      </c>
      <c r="G2" s="79" t="s">
        <v>584</v>
      </c>
      <c r="H2" s="80" t="s">
        <v>614</v>
      </c>
    </row>
    <row r="3" spans="1:8">
      <c r="A3" s="81" t="s">
        <v>615</v>
      </c>
      <c r="B3" s="79">
        <v>1</v>
      </c>
      <c r="C3" s="79" t="s">
        <v>616</v>
      </c>
      <c r="D3" s="79" t="s">
        <v>617</v>
      </c>
      <c r="E3" s="79" t="s">
        <v>557</v>
      </c>
      <c r="F3" s="79" t="s">
        <v>587</v>
      </c>
      <c r="G3" s="79" t="s">
        <v>584</v>
      </c>
      <c r="H3" s="80" t="s">
        <v>591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sheetData>
    <row r="1" spans="1:8">
      <c r="A1" s="74"/>
      <c r="B1" s="75" t="s">
        <v>3</v>
      </c>
      <c r="C1" s="75" t="s">
        <v>4</v>
      </c>
      <c r="D1" s="75" t="s">
        <v>5</v>
      </c>
      <c r="E1" s="75" t="s">
        <v>6</v>
      </c>
      <c r="F1" s="75" t="s">
        <v>7</v>
      </c>
      <c r="G1" s="76"/>
      <c r="H1" s="77" t="s">
        <v>8</v>
      </c>
    </row>
    <row r="2" spans="1:8">
      <c r="A2" s="78"/>
      <c r="B2" s="79">
        <v>5</v>
      </c>
      <c r="C2" s="79" t="s">
        <v>585</v>
      </c>
      <c r="D2" s="79" t="s">
        <v>586</v>
      </c>
      <c r="E2" s="79" t="s">
        <v>557</v>
      </c>
      <c r="F2" s="79" t="s">
        <v>587</v>
      </c>
      <c r="G2" s="79" t="s">
        <v>584</v>
      </c>
      <c r="H2" s="80" t="s">
        <v>588</v>
      </c>
    </row>
    <row r="3" spans="1:8">
      <c r="A3" s="78"/>
      <c r="B3" s="79">
        <v>5</v>
      </c>
      <c r="C3" s="79" t="s">
        <v>589</v>
      </c>
      <c r="D3" s="79" t="s">
        <v>590</v>
      </c>
      <c r="E3" s="79" t="s">
        <v>557</v>
      </c>
      <c r="F3" s="79" t="s">
        <v>587</v>
      </c>
      <c r="G3" s="79" t="s">
        <v>584</v>
      </c>
      <c r="H3" s="80" t="s">
        <v>591</v>
      </c>
    </row>
    <row r="4" spans="1:8">
      <c r="A4" s="78"/>
      <c r="B4" s="79">
        <v>5</v>
      </c>
      <c r="C4" s="79" t="s">
        <v>592</v>
      </c>
      <c r="D4" s="79" t="s">
        <v>593</v>
      </c>
      <c r="E4" s="79" t="s">
        <v>557</v>
      </c>
      <c r="F4" s="79" t="s">
        <v>587</v>
      </c>
      <c r="G4" s="79" t="s">
        <v>584</v>
      </c>
      <c r="H4" s="80" t="s">
        <v>594</v>
      </c>
    </row>
    <row r="5" spans="1:8">
      <c r="A5" s="78"/>
      <c r="B5" s="79">
        <v>5</v>
      </c>
      <c r="C5" s="79" t="s">
        <v>595</v>
      </c>
      <c r="D5" s="79" t="s">
        <v>596</v>
      </c>
      <c r="E5" s="79" t="s">
        <v>557</v>
      </c>
      <c r="F5" s="79" t="s">
        <v>587</v>
      </c>
      <c r="G5" s="79" t="s">
        <v>584</v>
      </c>
      <c r="H5" s="80" t="s">
        <v>588</v>
      </c>
    </row>
    <row r="6" spans="1:8">
      <c r="A6" s="78"/>
      <c r="B6" s="79">
        <v>5</v>
      </c>
      <c r="C6" s="79" t="s">
        <v>597</v>
      </c>
      <c r="D6" s="79" t="s">
        <v>598</v>
      </c>
      <c r="E6" s="79" t="s">
        <v>557</v>
      </c>
      <c r="F6" s="79" t="s">
        <v>587</v>
      </c>
      <c r="G6" s="79" t="s">
        <v>584</v>
      </c>
      <c r="H6" s="80" t="s">
        <v>599</v>
      </c>
    </row>
    <row r="7" spans="1:8">
      <c r="A7" s="78"/>
      <c r="B7" s="79">
        <v>5</v>
      </c>
      <c r="C7" s="79" t="s">
        <v>600</v>
      </c>
      <c r="D7" s="79" t="s">
        <v>601</v>
      </c>
      <c r="E7" s="79" t="s">
        <v>557</v>
      </c>
      <c r="F7" s="79" t="s">
        <v>587</v>
      </c>
      <c r="G7" s="79" t="s">
        <v>584</v>
      </c>
      <c r="H7" s="80" t="s">
        <v>602</v>
      </c>
    </row>
    <row r="8" spans="1:8">
      <c r="A8" s="78"/>
      <c r="B8" s="79">
        <v>5</v>
      </c>
      <c r="C8" s="79" t="s">
        <v>603</v>
      </c>
      <c r="D8" s="79" t="s">
        <v>604</v>
      </c>
      <c r="E8" s="79" t="s">
        <v>557</v>
      </c>
      <c r="F8" s="79" t="s">
        <v>587</v>
      </c>
      <c r="G8" s="79" t="s">
        <v>584</v>
      </c>
      <c r="H8" s="80" t="s">
        <v>591</v>
      </c>
    </row>
    <row r="9" spans="1:8">
      <c r="A9" s="78"/>
      <c r="B9" s="79">
        <v>5</v>
      </c>
      <c r="C9" s="79" t="s">
        <v>605</v>
      </c>
      <c r="D9" s="79" t="s">
        <v>606</v>
      </c>
      <c r="E9" s="79" t="s">
        <v>557</v>
      </c>
      <c r="F9" s="79" t="s">
        <v>607</v>
      </c>
      <c r="G9" s="79" t="s">
        <v>584</v>
      </c>
      <c r="H9" s="80" t="s">
        <v>608</v>
      </c>
    </row>
    <row r="10" spans="1:8">
      <c r="A10" s="78"/>
      <c r="B10" s="79">
        <v>5</v>
      </c>
      <c r="C10" s="79" t="s">
        <v>609</v>
      </c>
      <c r="D10" s="79" t="s">
        <v>610</v>
      </c>
      <c r="E10" s="79" t="s">
        <v>557</v>
      </c>
      <c r="F10" s="79" t="s">
        <v>587</v>
      </c>
      <c r="G10" s="79" t="s">
        <v>584</v>
      </c>
      <c r="H10" s="80" t="s">
        <v>588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Призеры 6</vt:lpstr>
      <vt:lpstr>Регман (копия) 1</vt:lpstr>
      <vt:lpstr>Список ком.</vt:lpstr>
      <vt:lpstr>Список ком. (копия)</vt:lpstr>
      <vt:lpstr>Инфо4-Бийск, СШОР №3-5</vt:lpstr>
      <vt:lpstr>Инфо3-Бийск, СШОР №3-1</vt:lpstr>
      <vt:lpstr>Инфо2-Бийск, СШОР №3-5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Олег</cp:lastModifiedBy>
  <dcterms:modified xsi:type="dcterms:W3CDTF">2025-01-19T11:27:05Z</dcterms:modified>
</cp:coreProperties>
</file>